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790" tabRatio="792" activeTab="1"/>
  </bookViews>
  <sheets>
    <sheet name="52893结算表" sheetId="1" r:id="rId1"/>
    <sheet name="汇总" sheetId="2" r:id="rId2"/>
    <sheet name="Sheet1" sheetId="58" r:id="rId3"/>
    <sheet name="20110701-20110930 对账单查询" sheetId="3" r:id="rId4"/>
    <sheet name="20111001-20111231 对账单查询" sheetId="4" r:id="rId5"/>
    <sheet name="20120101-20120331对账单查询" sheetId="5" r:id="rId6"/>
    <sheet name="20120401-20120630 对账单查询" sheetId="6" r:id="rId7"/>
    <sheet name="20120701-20120930 对账单查询" sheetId="7" r:id="rId8"/>
    <sheet name="20121001-20121231 对账单查询" sheetId="8" r:id="rId9"/>
    <sheet name="20130101-20130331 对账单查询" sheetId="9" r:id="rId10"/>
    <sheet name="20130401-20130630 对账单查询" sheetId="10" r:id="rId11"/>
    <sheet name="20130701-20130930 对账单查询" sheetId="11" r:id="rId12"/>
    <sheet name="20131001-20131231 对账单查询" sheetId="12" r:id="rId13"/>
    <sheet name="20140101-20140331 对账单查询" sheetId="13" r:id="rId14"/>
    <sheet name="20140401-20140630 对账单查询" sheetId="14" r:id="rId15"/>
    <sheet name="20140701-20140930 对账单查询" sheetId="15" r:id="rId16"/>
    <sheet name="20141001-20141231 对账单查询" sheetId="16" r:id="rId17"/>
    <sheet name="20150101-20150331 对账单查询" sheetId="17" r:id="rId18"/>
    <sheet name="20150401-20150630对账单查询" sheetId="18" r:id="rId19"/>
    <sheet name="20150701-20150930 对账单查询" sheetId="19" r:id="rId20"/>
    <sheet name="20151001-20151231 对账单查询" sheetId="20" r:id="rId21"/>
    <sheet name="20160101-20160331对账单查询" sheetId="21" r:id="rId22"/>
    <sheet name="20160401-20160630 对账单查询" sheetId="22" r:id="rId23"/>
    <sheet name="20160701-20160930 对账单查询" sheetId="23" r:id="rId24"/>
    <sheet name="20161001-20161231对账单查询" sheetId="24" r:id="rId25"/>
    <sheet name="20170101-20170331对账单查询" sheetId="25" r:id="rId26"/>
    <sheet name="20170401-20170630对账单查询" sheetId="26" r:id="rId27"/>
    <sheet name="20170701-20170930 对账单查询" sheetId="27" r:id="rId28"/>
    <sheet name="20171001-20171231对账单查询" sheetId="28" r:id="rId29"/>
    <sheet name="20180101-20180331对账单查询" sheetId="29" r:id="rId30"/>
    <sheet name="20180401-20180630对账单查询" sheetId="30" r:id="rId31"/>
    <sheet name="20180701-20180930对账单查询" sheetId="31" r:id="rId32"/>
    <sheet name="20181001-20181231对账单查询" sheetId="32" r:id="rId33"/>
    <sheet name="20190101-20190331对账单查询" sheetId="33" r:id="rId34"/>
    <sheet name="20190401-20190630对账单查询" sheetId="34" r:id="rId35"/>
    <sheet name="20190701-20190930对账单查询" sheetId="35" r:id="rId36"/>
    <sheet name="20191001-20191231对账单查询" sheetId="36" r:id="rId37"/>
    <sheet name="20200101-20200331对账单查询" sheetId="37" r:id="rId38"/>
    <sheet name="20200101-20200331沪港通交割单查询" sheetId="41" r:id="rId39"/>
    <sheet name="20200401-20200630对账单查询" sheetId="38" r:id="rId40"/>
    <sheet name="20200401-20200630沪港通交割单查询" sheetId="42" r:id="rId41"/>
    <sheet name="20200701-20200930 对账单查询" sheetId="43" r:id="rId42"/>
    <sheet name="20200701-20200930 沪港通交割单查询" sheetId="44" r:id="rId43"/>
    <sheet name="20201001-20201231对账单查询" sheetId="47" r:id="rId44"/>
    <sheet name="20201001-20201231沪港通 交割单查询" sheetId="48" r:id="rId45"/>
    <sheet name="20210101-20210331对账单查询" sheetId="49" r:id="rId46"/>
    <sheet name="20210101-20210331沪港通交割单查询" sheetId="50" r:id="rId47"/>
    <sheet name="20210301-20210630对账单查询" sheetId="51" r:id="rId48"/>
    <sheet name="20210301-20210630沪港通交割单查询" sheetId="52" r:id="rId49"/>
    <sheet name="20210701-20210930 对账单查询" sheetId="54" r:id="rId50"/>
    <sheet name="20210707-20210930港股通交割单查询" sheetId="55" r:id="rId51"/>
    <sheet name="20211001-20211231对账单查询" sheetId="56" r:id="rId52"/>
    <sheet name="20211001-20211231港股通交割单查询" sheetId="57" r:id="rId53"/>
    <sheet name="20220101-20220331 对账单查询" sheetId="59" r:id="rId54"/>
    <sheet name="20220101-20220330 港股通交割单查询" sheetId="61" r:id="rId55"/>
    <sheet name="20220401-20220630 对账单查询" sheetId="60" r:id="rId56"/>
    <sheet name="20220401-20220630 港股通交割单查询" sheetId="62" r:id="rId57"/>
  </sheets>
  <definedNames>
    <definedName name="_xlnm._FilterDatabase" localSheetId="1" hidden="1">汇总!$A$1:$K$2408</definedName>
    <definedName name="_xlnm._FilterDatabase" localSheetId="25" hidden="1">'20170101-20170331对账单查询'!$A$1:$O$66</definedName>
  </definedNames>
  <calcPr calcId="144525"/>
  <pivotCaches>
    <pivotCache cacheId="0" r:id="rId58"/>
  </pivotCaches>
</workbook>
</file>

<file path=xl/sharedStrings.xml><?xml version="1.0" encoding="utf-8"?>
<sst xmlns="http://schemas.openxmlformats.org/spreadsheetml/2006/main" count="4196" uniqueCount="427">
  <si>
    <t>证券代码</t>
  </si>
  <si>
    <t>业务类型</t>
  </si>
  <si>
    <t>求和项:发生金额</t>
  </si>
  <si>
    <t>000601</t>
  </si>
  <si>
    <t>000606</t>
  </si>
  <si>
    <t>000667</t>
  </si>
  <si>
    <t>000670</t>
  </si>
  <si>
    <t>000700</t>
  </si>
  <si>
    <t>000768</t>
  </si>
  <si>
    <t>000868</t>
  </si>
  <si>
    <t>000939</t>
  </si>
  <si>
    <t>002015</t>
  </si>
  <si>
    <t>002036</t>
  </si>
  <si>
    <t>002183</t>
  </si>
  <si>
    <t>002197</t>
  </si>
  <si>
    <t>002500</t>
  </si>
  <si>
    <t>002543</t>
  </si>
  <si>
    <t>002609</t>
  </si>
  <si>
    <t>002717</t>
  </si>
  <si>
    <t>002925</t>
  </si>
  <si>
    <t>002958</t>
  </si>
  <si>
    <t>040008</t>
  </si>
  <si>
    <t>072142</t>
  </si>
  <si>
    <t>072271</t>
  </si>
  <si>
    <t>072284</t>
  </si>
  <si>
    <t>072318</t>
  </si>
  <si>
    <t>119931</t>
  </si>
  <si>
    <t>122535</t>
  </si>
  <si>
    <t>128016</t>
  </si>
  <si>
    <t>128019</t>
  </si>
  <si>
    <t>128023</t>
  </si>
  <si>
    <t>128024</t>
  </si>
  <si>
    <t>131801</t>
  </si>
  <si>
    <t>131802</t>
  </si>
  <si>
    <t>131803</t>
  </si>
  <si>
    <t>131810</t>
  </si>
  <si>
    <t>131811</t>
  </si>
  <si>
    <t>150153</t>
  </si>
  <si>
    <t>150175</t>
  </si>
  <si>
    <t>150181</t>
  </si>
  <si>
    <t>150182</t>
  </si>
  <si>
    <t>150197</t>
  </si>
  <si>
    <t>150201</t>
  </si>
  <si>
    <t>150209</t>
  </si>
  <si>
    <t>150276</t>
  </si>
  <si>
    <t>150295</t>
  </si>
  <si>
    <t>150296</t>
  </si>
  <si>
    <t>159949</t>
  </si>
  <si>
    <t>160136</t>
  </si>
  <si>
    <t>161024</t>
  </si>
  <si>
    <t>161026</t>
  </si>
  <si>
    <t>162411</t>
  </si>
  <si>
    <t>300195</t>
  </si>
  <si>
    <t>300463</t>
  </si>
  <si>
    <t>510300</t>
  </si>
  <si>
    <t>511990</t>
  </si>
  <si>
    <t>511991</t>
  </si>
  <si>
    <t>600025</t>
  </si>
  <si>
    <t>600028</t>
  </si>
  <si>
    <t>600066</t>
  </si>
  <si>
    <t>600165</t>
  </si>
  <si>
    <t>600219</t>
  </si>
  <si>
    <t>600270</t>
  </si>
  <si>
    <t>600297</t>
  </si>
  <si>
    <t>600365</t>
  </si>
  <si>
    <t>600575</t>
  </si>
  <si>
    <t>600583</t>
  </si>
  <si>
    <t>600597</t>
  </si>
  <si>
    <t>600664</t>
  </si>
  <si>
    <t>600789</t>
  </si>
  <si>
    <t>600829</t>
  </si>
  <si>
    <t>600886</t>
  </si>
  <si>
    <t>600894</t>
  </si>
  <si>
    <t>601088</t>
  </si>
  <si>
    <t>601166</t>
  </si>
  <si>
    <t>601179</t>
  </si>
  <si>
    <t>601398</t>
  </si>
  <si>
    <t>601607</t>
  </si>
  <si>
    <t>603506</t>
  </si>
  <si>
    <t>730025</t>
  </si>
  <si>
    <t>732506</t>
  </si>
  <si>
    <t>799999</t>
  </si>
  <si>
    <t>指定交易</t>
  </si>
  <si>
    <t>AA0007</t>
  </si>
  <si>
    <t>基金红利拨入</t>
  </si>
  <si>
    <t>基金申购拨出</t>
  </si>
  <si>
    <t>基金赎回拨入</t>
  </si>
  <si>
    <t>资管T0取现拨入</t>
  </si>
  <si>
    <t>(空白)</t>
  </si>
  <si>
    <t>利息归本</t>
  </si>
  <si>
    <t>银行转证券</t>
  </si>
  <si>
    <t>证券转银行</t>
  </si>
  <si>
    <t>港股通组合费</t>
  </si>
  <si>
    <t>00386</t>
  </si>
  <si>
    <t xml:space="preserve">港股通组合费	</t>
  </si>
  <si>
    <t>502012</t>
  </si>
  <si>
    <t>003016</t>
  </si>
  <si>
    <t>01099</t>
  </si>
  <si>
    <t>600722</t>
  </si>
  <si>
    <t>002484</t>
  </si>
  <si>
    <t>300355</t>
  </si>
  <si>
    <t>159781</t>
  </si>
  <si>
    <t>889688</t>
  </si>
  <si>
    <t>001227</t>
  </si>
  <si>
    <t>787047</t>
  </si>
  <si>
    <t>688047</t>
  </si>
  <si>
    <t>总计</t>
  </si>
  <si>
    <t xml:space="preserve">20200309	</t>
  </si>
  <si>
    <t xml:space="preserve">20200305	</t>
  </si>
  <si>
    <t xml:space="preserve">港股通股票买入	</t>
  </si>
  <si>
    <t xml:space="preserve">中国石油	</t>
  </si>
  <si>
    <t xml:space="preserve">20200310	</t>
  </si>
  <si>
    <t xml:space="preserve">	</t>
  </si>
  <si>
    <t xml:space="preserve">20200311	</t>
  </si>
  <si>
    <t xml:space="preserve">20200312	</t>
  </si>
  <si>
    <t xml:space="preserve">20200313	</t>
  </si>
  <si>
    <t xml:space="preserve">20200316	</t>
  </si>
  <si>
    <t xml:space="preserve">20200317	</t>
  </si>
  <si>
    <t xml:space="preserve">20200318	</t>
  </si>
  <si>
    <t xml:space="preserve">20200319	</t>
  </si>
  <si>
    <t xml:space="preserve">20200320	</t>
  </si>
  <si>
    <t xml:space="preserve">20200323	</t>
  </si>
  <si>
    <t xml:space="preserve">20200324	</t>
  </si>
  <si>
    <t xml:space="preserve">20200325	</t>
  </si>
  <si>
    <t xml:space="preserve">20200326	</t>
  </si>
  <si>
    <t xml:space="preserve">20200327	</t>
  </si>
  <si>
    <t xml:space="preserve">20200330	</t>
  </si>
  <si>
    <t xml:space="preserve">20200331	</t>
  </si>
  <si>
    <t xml:space="preserve">20200401	</t>
  </si>
  <si>
    <t xml:space="preserve">20200402	</t>
  </si>
  <si>
    <t xml:space="preserve">20200403	</t>
  </si>
  <si>
    <t xml:space="preserve">20200407	</t>
  </si>
  <si>
    <t xml:space="preserve">20200408	</t>
  </si>
  <si>
    <t xml:space="preserve">20200409	</t>
  </si>
  <si>
    <t xml:space="preserve">20200414	</t>
  </si>
  <si>
    <t xml:space="preserve">20200415	</t>
  </si>
  <si>
    <t xml:space="preserve">20200416	</t>
  </si>
  <si>
    <t xml:space="preserve">20200417	</t>
  </si>
  <si>
    <t xml:space="preserve">20200420	</t>
  </si>
  <si>
    <t xml:space="preserve">20200421	</t>
  </si>
  <si>
    <t xml:space="preserve">20200422	</t>
  </si>
  <si>
    <t xml:space="preserve">20200423	</t>
  </si>
  <si>
    <t xml:space="preserve">20200424	</t>
  </si>
  <si>
    <t xml:space="preserve">20200427	</t>
  </si>
  <si>
    <t xml:space="preserve">20200428	</t>
  </si>
  <si>
    <t xml:space="preserve">20200429	</t>
  </si>
  <si>
    <t xml:space="preserve">20200506	</t>
  </si>
  <si>
    <t xml:space="preserve">20200507	</t>
  </si>
  <si>
    <t xml:space="preserve">20200508	</t>
  </si>
  <si>
    <t xml:space="preserve">20200511	</t>
  </si>
  <si>
    <t xml:space="preserve">20200512	</t>
  </si>
  <si>
    <t xml:space="preserve">20200513	</t>
  </si>
  <si>
    <t xml:space="preserve">20200514	</t>
  </si>
  <si>
    <t xml:space="preserve">20200515	</t>
  </si>
  <si>
    <t xml:space="preserve">20200518	</t>
  </si>
  <si>
    <t xml:space="preserve">20200519	</t>
  </si>
  <si>
    <t xml:space="preserve">20200520	</t>
  </si>
  <si>
    <t xml:space="preserve">20200521	</t>
  </si>
  <si>
    <t xml:space="preserve">20200522	</t>
  </si>
  <si>
    <t xml:space="preserve">20200525	</t>
  </si>
  <si>
    <t xml:space="preserve">20200526	</t>
  </si>
  <si>
    <t xml:space="preserve">20200527	</t>
  </si>
  <si>
    <t xml:space="preserve">20200528	</t>
  </si>
  <si>
    <t xml:space="preserve">20200529	</t>
  </si>
  <si>
    <t xml:space="preserve">20200601	</t>
  </si>
  <si>
    <t xml:space="preserve">20200602	</t>
  </si>
  <si>
    <t xml:space="preserve">20200603	</t>
  </si>
  <si>
    <t xml:space="preserve">20200604	</t>
  </si>
  <si>
    <t xml:space="preserve">20200605	</t>
  </si>
  <si>
    <t xml:space="preserve">20200608	</t>
  </si>
  <si>
    <t xml:space="preserve">20200609	</t>
  </si>
  <si>
    <t xml:space="preserve">20200610	</t>
  </si>
  <si>
    <t xml:space="preserve">20200611	</t>
  </si>
  <si>
    <t xml:space="preserve">20200612	</t>
  </si>
  <si>
    <t xml:space="preserve">20200615	</t>
  </si>
  <si>
    <t xml:space="preserve">20200616	</t>
  </si>
  <si>
    <t xml:space="preserve">20200617	</t>
  </si>
  <si>
    <t xml:space="preserve">20200618	</t>
  </si>
  <si>
    <t xml:space="preserve">20200619	</t>
  </si>
  <si>
    <t xml:space="preserve">20200622	</t>
  </si>
  <si>
    <t xml:space="preserve">20200623	</t>
  </si>
  <si>
    <t xml:space="preserve">港股通红利发放	</t>
  </si>
  <si>
    <t xml:space="preserve">20200624	</t>
  </si>
  <si>
    <t xml:space="preserve">20200629	</t>
  </si>
  <si>
    <t xml:space="preserve">20200630	</t>
  </si>
  <si>
    <t/>
  </si>
  <si>
    <t>银河水星1号集合</t>
  </si>
  <si>
    <t>配售缴款</t>
  </si>
  <si>
    <t>兰州银行</t>
  </si>
  <si>
    <t>配售股份</t>
  </si>
  <si>
    <t>新股入帐</t>
  </si>
  <si>
    <t>中签股份下账</t>
  </si>
  <si>
    <t>证券卖出</t>
  </si>
  <si>
    <t>龙芯申购</t>
  </si>
  <si>
    <t>港股通卖出</t>
  </si>
  <si>
    <t>国药控股</t>
  </si>
  <si>
    <t>资管计划实时取现</t>
  </si>
  <si>
    <t>水星1号</t>
  </si>
  <si>
    <t>新代码</t>
  </si>
  <si>
    <t>港股通红利发放</t>
  </si>
  <si>
    <t>中国石油</t>
  </si>
  <si>
    <t>N龙芯</t>
  </si>
  <si>
    <t>证券买入</t>
  </si>
  <si>
    <t>韶能股份</t>
  </si>
  <si>
    <t xml:space="preserve">00386	</t>
  </si>
  <si>
    <t xml:space="preserve">3.58	</t>
  </si>
  <si>
    <t xml:space="preserve">6000	</t>
  </si>
  <si>
    <t xml:space="preserve">21473.79	</t>
  </si>
  <si>
    <t xml:space="preserve">-21538.64	</t>
  </si>
  <si>
    <t xml:space="preserve">20641.86	</t>
  </si>
  <si>
    <t xml:space="preserve">0.00	</t>
  </si>
  <si>
    <t xml:space="preserve">0	</t>
  </si>
  <si>
    <t xml:space="preserve">0.01	</t>
  </si>
  <si>
    <t xml:space="preserve">-0.01	</t>
  </si>
  <si>
    <t xml:space="preserve">20641.85	</t>
  </si>
  <si>
    <t xml:space="preserve">3.31	</t>
  </si>
  <si>
    <t xml:space="preserve">19835.03	</t>
  </si>
  <si>
    <t xml:space="preserve">-19895.05	</t>
  </si>
  <si>
    <t xml:space="preserve">746.80	</t>
  </si>
  <si>
    <t xml:space="preserve">12000	</t>
  </si>
  <si>
    <t xml:space="preserve">746.79	</t>
  </si>
  <si>
    <t xml:space="preserve">0.02	</t>
  </si>
  <si>
    <t xml:space="preserve">-0.02	</t>
  </si>
  <si>
    <t xml:space="preserve">746.77	</t>
  </si>
  <si>
    <t xml:space="preserve">19267.16	</t>
  </si>
  <si>
    <t xml:space="preserve">0.03	</t>
  </si>
  <si>
    <t xml:space="preserve">-0.03	</t>
  </si>
  <si>
    <t xml:space="preserve">19267.13	</t>
  </si>
  <si>
    <t xml:space="preserve">3.11	</t>
  </si>
  <si>
    <t xml:space="preserve">18676.58	</t>
  </si>
  <si>
    <t xml:space="preserve">-18721.63	</t>
  </si>
  <si>
    <t xml:space="preserve">545.50	</t>
  </si>
  <si>
    <t xml:space="preserve">18000	</t>
  </si>
  <si>
    <t xml:space="preserve">545.49	</t>
  </si>
  <si>
    <t xml:space="preserve">545.47	</t>
  </si>
  <si>
    <t xml:space="preserve">24296.07	</t>
  </si>
  <si>
    <t xml:space="preserve">24298.52	</t>
  </si>
  <si>
    <t xml:space="preserve">2.95	</t>
  </si>
  <si>
    <t xml:space="preserve">8000	</t>
  </si>
  <si>
    <t xml:space="preserve">23627.12	</t>
  </si>
  <si>
    <t xml:space="preserve">-23666.73	</t>
  </si>
  <si>
    <t xml:space="preserve">633.83	</t>
  </si>
  <si>
    <t xml:space="preserve">26000	</t>
  </si>
  <si>
    <t xml:space="preserve">0.06	</t>
  </si>
  <si>
    <t xml:space="preserve">-0.06	</t>
  </si>
  <si>
    <t xml:space="preserve">633.77	</t>
  </si>
  <si>
    <t xml:space="preserve">633.75	</t>
  </si>
  <si>
    <t xml:space="preserve">633.73	</t>
  </si>
  <si>
    <t xml:space="preserve">633.70	</t>
  </si>
  <si>
    <t xml:space="preserve">633.67	</t>
  </si>
  <si>
    <t xml:space="preserve">0.08	</t>
  </si>
  <si>
    <t xml:space="preserve">-0.08	</t>
  </si>
  <si>
    <t xml:space="preserve">633.59	</t>
  </si>
  <si>
    <t xml:space="preserve">633.56	</t>
  </si>
  <si>
    <t xml:space="preserve">交收日期	</t>
  </si>
  <si>
    <t xml:space="preserve">清算日期	</t>
  </si>
  <si>
    <t xml:space="preserve">委托日期	</t>
  </si>
  <si>
    <t xml:space="preserve">委托时间	</t>
  </si>
  <si>
    <t xml:space="preserve">业务类型	</t>
  </si>
  <si>
    <t xml:space="preserve">证券代码	</t>
  </si>
  <si>
    <t xml:space="preserve">证券名称	</t>
  </si>
  <si>
    <t xml:space="preserve">成交价格	</t>
  </si>
  <si>
    <t xml:space="preserve">成交数量	</t>
  </si>
  <si>
    <t xml:space="preserve">成交金额	</t>
  </si>
  <si>
    <t xml:space="preserve">发生金额	</t>
  </si>
  <si>
    <t xml:space="preserve">委托数量	</t>
  </si>
  <si>
    <t xml:space="preserve">委托价格(港币)	</t>
  </si>
  <si>
    <t xml:space="preserve">剩余金额	</t>
  </si>
  <si>
    <t xml:space="preserve">证券数量	</t>
  </si>
  <si>
    <t xml:space="preserve">印花税	</t>
  </si>
  <si>
    <t xml:space="preserve">手续费	</t>
  </si>
  <si>
    <t xml:space="preserve">股份交收费	</t>
  </si>
  <si>
    <t xml:space="preserve">交易费	</t>
  </si>
  <si>
    <t xml:space="preserve">前台费	</t>
  </si>
  <si>
    <t xml:space="preserve">交易系统使用费	</t>
  </si>
  <si>
    <t xml:space="preserve">交易征费	</t>
  </si>
  <si>
    <t xml:space="preserve">其他费	</t>
  </si>
  <si>
    <t xml:space="preserve">结算汇率	</t>
  </si>
  <si>
    <t xml:space="preserve">协议编号	</t>
  </si>
  <si>
    <t xml:space="preserve">成交时间	</t>
  </si>
  <si>
    <t xml:space="preserve">币种	</t>
  </si>
  <si>
    <t xml:space="preserve">股东代码	</t>
  </si>
  <si>
    <t xml:space="preserve">13:44:29	</t>
  </si>
  <si>
    <t xml:space="preserve">6000.00	</t>
  </si>
  <si>
    <t xml:space="preserve">4.010	</t>
  </si>
  <si>
    <t xml:space="preserve">22.31	</t>
  </si>
  <si>
    <t xml:space="preserve">38.65	</t>
  </si>
  <si>
    <t xml:space="preserve">1.78	</t>
  </si>
  <si>
    <t xml:space="preserve">1.07	</t>
  </si>
  <si>
    <t xml:space="preserve">0.44	</t>
  </si>
  <si>
    <t xml:space="preserve">0.58	</t>
  </si>
  <si>
    <t xml:space="preserve">0.89251	</t>
  </si>
  <si>
    <t xml:space="preserve">386000005324	</t>
  </si>
  <si>
    <t xml:space="preserve">134428	</t>
  </si>
  <si>
    <t xml:space="preserve">人民币	</t>
  </si>
  <si>
    <t xml:space="preserve">A368402599	</t>
  </si>
  <si>
    <t xml:space="preserve">00:00:00	</t>
  </si>
  <si>
    <t xml:space="preserve">.000	</t>
  </si>
  <si>
    <t xml:space="preserve">0.00000	</t>
  </si>
  <si>
    <t xml:space="preserve">09:58:53	</t>
  </si>
  <si>
    <t xml:space="preserve">3.700	</t>
  </si>
  <si>
    <t xml:space="preserve">20.54	</t>
  </si>
  <si>
    <t xml:space="preserve">35.70	</t>
  </si>
  <si>
    <t xml:space="preserve">0.99	</t>
  </si>
  <si>
    <t xml:space="preserve">0.53	</t>
  </si>
  <si>
    <t xml:space="preserve">0.04	</t>
  </si>
  <si>
    <t xml:space="preserve">0.89347	</t>
  </si>
  <si>
    <t xml:space="preserve">386000005296	</t>
  </si>
  <si>
    <t xml:space="preserve">100409	</t>
  </si>
  <si>
    <t xml:space="preserve">09:51:34	</t>
  </si>
  <si>
    <t xml:space="preserve">3.450	</t>
  </si>
  <si>
    <t xml:space="preserve">18.94	</t>
  </si>
  <si>
    <t xml:space="preserve">22.41	</t>
  </si>
  <si>
    <t xml:space="preserve">1.80	</t>
  </si>
  <si>
    <t xml:space="preserve">0.93	</t>
  </si>
  <si>
    <t xml:space="preserve">0.45	</t>
  </si>
  <si>
    <t xml:space="preserve">0.50	</t>
  </si>
  <si>
    <t xml:space="preserve">0.90225	</t>
  </si>
  <si>
    <t xml:space="preserve">386000004623	</t>
  </si>
  <si>
    <t xml:space="preserve">100733	</t>
  </si>
  <si>
    <t xml:space="preserve">13:43:05	</t>
  </si>
  <si>
    <t xml:space="preserve">8000.00	</t>
  </si>
  <si>
    <t xml:space="preserve">3.240	</t>
  </si>
  <si>
    <t xml:space="preserve">23.70	</t>
  </si>
  <si>
    <t xml:space="preserve">11.81	</t>
  </si>
  <si>
    <t xml:space="preserve">1.82	</t>
  </si>
  <si>
    <t xml:space="preserve">1.18	</t>
  </si>
  <si>
    <t xml:space="preserve">0.63	</t>
  </si>
  <si>
    <t xml:space="preserve">0.91154	</t>
  </si>
  <si>
    <t xml:space="preserve">386000010373	</t>
  </si>
  <si>
    <t xml:space="preserve">135028	</t>
  </si>
  <si>
    <t xml:space="preserve">633.53	</t>
  </si>
  <si>
    <t xml:space="preserve">633.50	</t>
  </si>
  <si>
    <t xml:space="preserve">633.47	</t>
  </si>
  <si>
    <t xml:space="preserve">0.11	</t>
  </si>
  <si>
    <t xml:space="preserve">-0.11	</t>
  </si>
  <si>
    <t xml:space="preserve">633.36	</t>
  </si>
  <si>
    <t xml:space="preserve">633.33	</t>
  </si>
  <si>
    <t xml:space="preserve">633.30	</t>
  </si>
  <si>
    <t xml:space="preserve">0.14	</t>
  </si>
  <si>
    <t xml:space="preserve">-0.14	</t>
  </si>
  <si>
    <t xml:space="preserve">633.16	</t>
  </si>
  <si>
    <t xml:space="preserve">633.13	</t>
  </si>
  <si>
    <t xml:space="preserve">633.10	</t>
  </si>
  <si>
    <t xml:space="preserve">633.07	</t>
  </si>
  <si>
    <t xml:space="preserve">632.99	</t>
  </si>
  <si>
    <t xml:space="preserve">632.96	</t>
  </si>
  <si>
    <t xml:space="preserve">632.93	</t>
  </si>
  <si>
    <t xml:space="preserve">632.90	</t>
  </si>
  <si>
    <t xml:space="preserve">632.87	</t>
  </si>
  <si>
    <t xml:space="preserve">632.79	</t>
  </si>
  <si>
    <t xml:space="preserve">632.76	</t>
  </si>
  <si>
    <t xml:space="preserve">632.73	</t>
  </si>
  <si>
    <t xml:space="preserve">0.20	</t>
  </si>
  <si>
    <t xml:space="preserve">-0.20	</t>
  </si>
  <si>
    <t xml:space="preserve">632.53	</t>
  </si>
  <si>
    <t xml:space="preserve">632.50	</t>
  </si>
  <si>
    <t xml:space="preserve">632.47	</t>
  </si>
  <si>
    <t xml:space="preserve">632.39	</t>
  </si>
  <si>
    <t xml:space="preserve">632.36	</t>
  </si>
  <si>
    <t xml:space="preserve">632.33	</t>
  </si>
  <si>
    <t xml:space="preserve">24.30	</t>
  </si>
  <si>
    <t xml:space="preserve">24.27	</t>
  </si>
  <si>
    <t xml:space="preserve">24.19	</t>
  </si>
  <si>
    <t xml:space="preserve">24.16	</t>
  </si>
  <si>
    <t xml:space="preserve">4.97	</t>
  </si>
  <si>
    <t xml:space="preserve">4.94	</t>
  </si>
  <si>
    <t xml:space="preserve">4.98	</t>
  </si>
  <si>
    <t xml:space="preserve">34.88	</t>
  </si>
  <si>
    <t xml:space="preserve">41.65	</t>
  </si>
  <si>
    <t xml:space="preserve">4.92	</t>
  </si>
  <si>
    <t xml:space="preserve">27.56	</t>
  </si>
  <si>
    <t xml:space="preserve">27.53	</t>
  </si>
  <si>
    <t xml:space="preserve">27.50	</t>
  </si>
  <si>
    <t xml:space="preserve">20027.47	</t>
  </si>
  <si>
    <t xml:space="preserve">0.05	</t>
  </si>
  <si>
    <t xml:space="preserve">-0.05	</t>
  </si>
  <si>
    <t xml:space="preserve">18681.09	</t>
  </si>
  <si>
    <t xml:space="preserve">09:55:03	</t>
  </si>
  <si>
    <t xml:space="preserve">18643.97	</t>
  </si>
  <si>
    <t xml:space="preserve">-18676.14	</t>
  </si>
  <si>
    <t xml:space="preserve">3.410	</t>
  </si>
  <si>
    <t xml:space="preserve">5.00	</t>
  </si>
  <si>
    <t xml:space="preserve">32000	</t>
  </si>
  <si>
    <t xml:space="preserve">19.13	</t>
  </si>
  <si>
    <t xml:space="preserve">9.32	</t>
  </si>
  <si>
    <t xml:space="preserve">0.92	</t>
  </si>
  <si>
    <t xml:space="preserve">0.91124	</t>
  </si>
  <si>
    <t xml:space="preserve">386000001968	</t>
  </si>
  <si>
    <t xml:space="preserve">100912	</t>
  </si>
  <si>
    <t xml:space="preserve">7.06	</t>
  </si>
  <si>
    <t xml:space="preserve">0.15	</t>
  </si>
  <si>
    <t xml:space="preserve">3952.00	</t>
  </si>
  <si>
    <t xml:space="preserve">3961.13	</t>
  </si>
  <si>
    <t xml:space="preserve">1.00000	</t>
  </si>
  <si>
    <t xml:space="preserve">3961.10	</t>
  </si>
  <si>
    <t xml:space="preserve">18288.66	</t>
  </si>
  <si>
    <t xml:space="preserve">18288.63	</t>
  </si>
  <si>
    <t>交收日期</t>
  </si>
  <si>
    <t>清算日期</t>
  </si>
  <si>
    <t>委托日期</t>
  </si>
  <si>
    <t>委托时间</t>
  </si>
  <si>
    <t>证券名称</t>
  </si>
  <si>
    <t>成交价格</t>
  </si>
  <si>
    <t>成交数量</t>
  </si>
  <si>
    <t>成交金额</t>
  </si>
  <si>
    <t>发生金额</t>
  </si>
  <si>
    <t>委托数量</t>
  </si>
  <si>
    <t>委托价格(港币)</t>
  </si>
  <si>
    <t>剩余金额</t>
  </si>
  <si>
    <t>证券数量</t>
  </si>
  <si>
    <t>印花税</t>
  </si>
  <si>
    <t>手续费</t>
  </si>
  <si>
    <t>股份交收费</t>
  </si>
  <si>
    <t>交易费</t>
  </si>
  <si>
    <t>前台费</t>
  </si>
  <si>
    <t>交易系统使用费</t>
  </si>
  <si>
    <t>交易征费</t>
  </si>
  <si>
    <t>其他费</t>
  </si>
  <si>
    <t>财汇局征费</t>
  </si>
  <si>
    <t>结算汇率</t>
  </si>
  <si>
    <t>协议编号</t>
  </si>
  <si>
    <t>成交时间</t>
  </si>
  <si>
    <t>币种</t>
  </si>
  <si>
    <t>股东代码</t>
  </si>
  <si>
    <t>人民币</t>
  </si>
  <si>
    <t>A368402599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</si>
</sst>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14" applyNumberFormat="0" applyAlignment="0" applyProtection="0">
      <alignment vertical="center"/>
    </xf>
    <xf numFmtId="0" fontId="14" fillId="11" borderId="10" applyNumberFormat="0" applyAlignment="0" applyProtection="0">
      <alignment vertical="center"/>
    </xf>
    <xf numFmtId="0" fontId="15" fillId="12" borderId="1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21" fontId="0" fillId="0" borderId="0" xfId="0" applyNumberForma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/>
    <xf numFmtId="176" fontId="0" fillId="0" borderId="0" xfId="0" applyNumberFormat="1">
      <alignment vertical="center"/>
    </xf>
    <xf numFmtId="176" fontId="0" fillId="0" borderId="0" xfId="0" applyNumberFormat="1" applyFont="1" applyFill="1" applyBorder="1" applyAlignment="1">
      <alignment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Border="1" applyAlignment="1">
      <alignment vertical="center"/>
    </xf>
    <xf numFmtId="49" fontId="0" fillId="0" borderId="0" xfId="0" applyNumberFormat="1" applyFont="1" applyFill="1" applyAlignment="1"/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pivotCacheDefinition" Target="pivotCache/pivotCacheDefinition1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748.6532060185" refreshedBy="D" recordCount="2408">
  <cacheSource type="worksheet">
    <worksheetSource ref="A1:K16080" sheet="汇总"/>
  </cacheSource>
  <cacheFields count="11">
    <cacheField name="成交日期" numFmtId="0">
      <sharedItems containsBlank="1" containsNumber="1" containsInteger="1" containsMixedTypes="1" count="1162">
        <s v="20110708"/>
        <s v="20110711"/>
        <s v="20110714"/>
        <s v="20110718"/>
        <s v="20110725"/>
        <s v="20110805"/>
        <s v="20110810"/>
        <s v="20110811"/>
        <s v="20110812"/>
        <s v="20110818"/>
        <s v="20110823"/>
        <s v="20110826"/>
        <s v="20110920"/>
        <s v="20110921"/>
        <s v="20110922"/>
        <s v="20111010"/>
        <s v="20111013"/>
        <s v="20111014"/>
        <s v="20111019"/>
        <s v="20111101"/>
        <s v="20111104"/>
        <s v="20111122"/>
        <s v="20111220"/>
        <s v="20111221"/>
        <s v="20120305"/>
        <s v="20120308"/>
        <s v="20120312"/>
        <s v="20120313"/>
        <s v="20120320"/>
        <s v="20120608"/>
        <s v="20120618"/>
        <s v="20120620"/>
        <s v="20120920"/>
        <s v="20121220"/>
        <s v="20121228"/>
        <s v="20130110"/>
        <s v="20130225"/>
        <s v="20130320"/>
        <s v="20130520"/>
        <s v="20130613"/>
        <s v="20130618"/>
        <s v="20130620"/>
        <s v="20130626"/>
        <s v="20130716"/>
        <s v="20130724"/>
        <s v="20130802"/>
        <s v="20130805"/>
        <s v="20130809"/>
        <s v="20130812"/>
        <s v="20130819"/>
        <s v="20130821"/>
        <s v="20130826"/>
        <s v="20130829"/>
        <s v="20130830"/>
        <s v="20130902"/>
        <s v="20130904"/>
        <s v="20130910"/>
        <s v="20130911"/>
        <s v="20130913"/>
        <s v="20130918"/>
        <s v="20130923"/>
        <s v="20130924"/>
        <s v="20130925"/>
        <s v="20130926"/>
        <s v="20131008"/>
        <s v="20131009"/>
        <s v="20131015"/>
        <s v="20131016"/>
        <s v="20131021"/>
        <s v="20131022"/>
        <s v="20131023"/>
        <s v="20131024"/>
        <s v="20131029"/>
        <s v="20131101"/>
        <s v="20131107"/>
        <s v="20131111"/>
        <s v="20131112"/>
        <s v="20131113"/>
        <s v="20131115"/>
        <s v="20131118"/>
        <s v="20131119"/>
        <s v="20131121"/>
        <s v="20131126"/>
        <s v="20131127"/>
        <s v="20131128"/>
        <s v="20131129"/>
        <s v="20131203"/>
        <s v="20131220"/>
        <s v="20140129"/>
        <s v="20140318"/>
        <s v="20140320"/>
        <s v="20140321"/>
        <s v="20140521"/>
        <s v="20140529"/>
        <s v="20140616"/>
        <s v="20140617"/>
        <s v="20140619"/>
        <s v="20140620"/>
        <s v="20140627"/>
        <s v="20140714"/>
        <s v="20140718"/>
        <s v="20140722"/>
        <s v="20140723"/>
        <s v="20140724"/>
        <s v="20140725"/>
        <s v="20140728"/>
        <s v="20140729"/>
        <s v="20140730"/>
        <s v="20140801"/>
        <s v="20140813"/>
        <s v="20140814"/>
        <s v="20140815"/>
        <s v="20140818"/>
        <s v="20140819"/>
        <s v="20140821"/>
        <s v="20140822"/>
        <s v="20140825"/>
        <s v="20140826"/>
        <s v="20140827"/>
        <s v="20140828"/>
        <s v="20140829"/>
        <s v="20140902"/>
        <s v="20140903"/>
        <s v="20140904"/>
        <s v="20140905"/>
        <s v="20140915"/>
        <s v="20140916"/>
        <s v="20140917"/>
        <s v="20140918"/>
        <s v="20140919"/>
        <s v="20140922"/>
        <s v="20140923"/>
        <s v="20140924"/>
        <s v="20140925"/>
        <s v="20140926"/>
        <s v="20141013"/>
        <s v="20141015"/>
        <s v="20141016"/>
        <s v="20141110"/>
        <s v="20141124"/>
        <s v="20141125"/>
        <s v="20141128"/>
        <s v="20141203"/>
        <s v="20141205"/>
        <s v="20141208"/>
        <s v="20141209"/>
        <s v="20141210"/>
        <s v="20141211"/>
        <s v="20141216"/>
        <s v="20141219"/>
        <s v="20141222"/>
        <s v="20141223"/>
        <s v="20141224"/>
        <s v="20150106"/>
        <s v="20150114"/>
        <s v="20150202"/>
        <s v="20150203"/>
        <s v="20150205"/>
        <s v="20150209"/>
        <s v="20150210"/>
        <s v="20150211"/>
        <s v="20150212"/>
        <s v="20150226"/>
        <s v="20150306"/>
        <s v="20150320"/>
        <s v="20150401"/>
        <s v="20150403"/>
        <s v="20150428"/>
        <s v="20150430"/>
        <s v="20150602"/>
        <s v="20150609"/>
        <s v="20150619"/>
        <s v="20150703"/>
        <s v="20150706"/>
        <s v="20150707"/>
        <s v="20150708"/>
        <s v="20150709"/>
        <s v="20150710"/>
        <s v="20150713"/>
        <s v="20150717"/>
        <s v="20150720"/>
        <s v="20150721"/>
        <s v="20150722"/>
        <s v="20150723"/>
        <s v="20150724"/>
        <s v="20150727"/>
        <s v="20150728"/>
        <s v="20150730"/>
        <s v="20150731"/>
        <s v="20150803"/>
        <s v="20150804"/>
        <s v="20150805"/>
        <s v="20150806"/>
        <s v="20150807"/>
        <s v="20150810"/>
        <s v="20150811"/>
        <s v="20150812"/>
        <s v="20150813"/>
        <s v="20150814"/>
        <s v="20150821"/>
        <s v="20150825"/>
        <s v="20150826"/>
        <s v="20150827"/>
        <s v="20150828"/>
        <s v="20150831"/>
        <s v="20150901"/>
        <s v="20150902"/>
        <s v="20150909"/>
        <s v="20150911"/>
        <s v="20150917"/>
        <s v="20150921"/>
        <s v="20150923"/>
        <s v="20150924"/>
        <s v="20150930"/>
        <s v="20151008"/>
        <s v="20151012"/>
        <s v="20151110"/>
        <s v="20151209"/>
        <s v="20151210"/>
        <s v="20151216"/>
        <s v="20151218"/>
        <s v="20151221"/>
        <s v="20160104"/>
        <s v="20160105"/>
        <s v="20160112"/>
        <s v="20160122"/>
        <s v="20160127"/>
        <s v="20160201"/>
        <s v="20160204"/>
        <s v="20160225"/>
        <s v="20160226"/>
        <s v="20160303"/>
        <s v="20160304"/>
        <s v="20160308"/>
        <s v="20160309"/>
        <s v="20160314"/>
        <s v="20160321"/>
        <s v="20160412"/>
        <s v="20160414"/>
        <s v="20160420"/>
        <s v="20160421"/>
        <s v="20160422"/>
        <s v="20160425"/>
        <s v="20160516"/>
        <s v="20160531"/>
        <s v="20160603"/>
        <s v="20160613"/>
        <s v="20160620"/>
        <s v="20160621"/>
        <s v="20160622"/>
        <s v="20160623"/>
        <s v="20160624"/>
        <s v="20160627"/>
        <s v="20160628"/>
        <s v="20160629"/>
        <s v="20160630"/>
        <s v="20160701"/>
        <s v="20160704"/>
        <s v="20160705"/>
        <s v="20160706"/>
        <s v="20160707"/>
        <s v="20160708"/>
        <s v="20160711"/>
        <s v="20160712"/>
        <s v="20160714"/>
        <s v="20160715"/>
        <s v="20160718"/>
        <s v="20160719"/>
        <s v="20160720"/>
        <s v="20160722"/>
        <s v="20160727"/>
        <s v="20160728"/>
        <s v="20160729"/>
        <s v="20160801"/>
        <s v="20160803"/>
        <s v="20160804"/>
        <s v="20160805"/>
        <s v="20160808"/>
        <s v="20160815"/>
        <s v="20160816"/>
        <s v="20160817"/>
        <s v="20160818"/>
        <s v="20160822"/>
        <s v="20160824"/>
        <s v="20160825"/>
        <s v="20160826"/>
        <s v="20160829"/>
        <s v="20160830"/>
        <s v="20160831"/>
        <s v="20160901"/>
        <s v="20160902"/>
        <s v="20160906"/>
        <s v="20160907"/>
        <s v="20160909"/>
        <s v="20160912"/>
        <s v="20160920"/>
        <s v="20160923"/>
        <s v="20161017"/>
        <s v="20161019"/>
        <s v="20161024"/>
        <s v="20161026"/>
        <s v="20161027"/>
        <s v="20161028"/>
        <s v="20161103"/>
        <s v="20161104"/>
        <s v="20161108"/>
        <s v="20161109"/>
        <s v="20161110"/>
        <s v="20161114"/>
        <s v="20161115"/>
        <s v="20161116"/>
        <s v="20161117"/>
        <s v="20161118"/>
        <s v="20161121"/>
        <s v="20161122"/>
        <s v="20161123"/>
        <s v="20161124"/>
        <s v="20161125"/>
        <s v="20161129"/>
        <s v="20161130"/>
        <s v="20161201"/>
        <s v="20161202"/>
        <s v="20161205"/>
        <s v="20161206"/>
        <s v="20161207"/>
        <s v="20161213"/>
        <s v="20161215"/>
        <s v="20161216"/>
        <s v="20161219"/>
        <s v="20161220"/>
        <s v="20161222"/>
        <s v="20161226"/>
        <s v="20161227"/>
        <s v="20161228"/>
        <s v="20161229"/>
        <s v="20161230"/>
        <s v="20170104"/>
        <s v="20170105"/>
        <s v="20170106"/>
        <s v="20170109"/>
        <s v="20170111"/>
        <s v="20170116"/>
        <s v="20170119"/>
        <s v="20170120"/>
        <s v="20170123"/>
        <s v="20170124"/>
        <s v="20170125"/>
        <s v="20170126"/>
        <s v="20170203"/>
        <s v="20170206"/>
        <s v="20170207"/>
        <s v="20170208"/>
        <s v="20170209"/>
        <s v="20170210"/>
        <s v="20170213"/>
        <s v="20170214"/>
        <s v="20170215"/>
        <s v="20170216"/>
        <s v="20170217"/>
        <s v="20170220"/>
        <s v="20170227"/>
        <s v="20170313"/>
        <s v="20170316"/>
        <s v="20170317"/>
        <s v="20170320"/>
        <s v="20170322"/>
        <s v="20170323"/>
        <s v="20170324"/>
        <s v="20170327"/>
        <s v="20170328"/>
        <s v="20170329"/>
        <s v="20170330"/>
        <s v="20170405"/>
        <s v="20170410"/>
        <s v="20170413"/>
        <s v="20170414"/>
        <s v="20170504"/>
        <s v="20170505"/>
        <s v="20170509"/>
        <s v="20170510"/>
        <s v="20170602"/>
        <s v="20170615"/>
        <s v="20170619"/>
        <s v="20170620"/>
        <s v="20170622"/>
        <s v="20170623"/>
        <s v="20170626"/>
        <s v="20170629"/>
        <s v="20170704"/>
        <s v="20170705"/>
        <s v="20170719"/>
        <s v="20170720"/>
        <s v="20170721"/>
        <s v="20170724"/>
        <s v="20170725"/>
        <s v="20170726"/>
        <s v="20170727"/>
        <s v="20170728"/>
        <s v="20170731"/>
        <s v="20170801"/>
        <s v="20170802"/>
        <s v="20170803"/>
        <s v="20170807"/>
        <s v="20170808"/>
        <s v="20170809"/>
        <s v="20170810"/>
        <s v="20170811"/>
        <s v="20170814"/>
        <s v="20170815"/>
        <s v="20170816"/>
        <s v="20170817"/>
        <s v="20170818"/>
        <s v="20170822"/>
        <s v="20170823"/>
        <s v="20170824"/>
        <s v="20170829"/>
        <s v="20170830"/>
        <s v="20170831"/>
        <s v="20170906"/>
        <s v="20170907"/>
        <s v="20170908"/>
        <s v="20170911"/>
        <s v="20170912"/>
        <s v="20170913"/>
        <s v="20170918"/>
        <s v="20170919"/>
        <s v="20170920"/>
        <s v="20170921"/>
        <s v="20170922"/>
        <s v="20170925"/>
        <s v="20170926"/>
        <s v="20170927"/>
        <s v="20170928"/>
        <s v="20170929"/>
        <s v="20171009"/>
        <s v="20171010"/>
        <s v="20171013"/>
        <s v="20171016"/>
        <s v="20171018"/>
        <s v="20171019"/>
        <s v="20171023"/>
        <s v="20171025"/>
        <s v="20171026"/>
        <s v="20171027"/>
        <s v="20171030"/>
        <s v="20171031"/>
        <s v="20171101"/>
        <s v="20171102"/>
        <s v="20171103"/>
        <s v="20171108"/>
        <s v="20171110"/>
        <s v="20171113"/>
        <s v="20171114"/>
        <s v="20171115"/>
        <s v="20171116"/>
        <s v="20171120"/>
        <s v="20171121"/>
        <s v="20171123"/>
        <s v="20171201"/>
        <s v="20171204"/>
        <s v="20171205"/>
        <s v="20171206"/>
        <s v="20171207"/>
        <s v="20171208"/>
        <s v="20171211"/>
        <s v="20171214"/>
        <s v="20171215"/>
        <s v="20171218"/>
        <s v="20171220"/>
        <s v="20171221"/>
        <s v="20171222"/>
        <s v="20171225"/>
        <s v="20171226"/>
        <s v="20171227"/>
        <s v="20171228"/>
        <s v="20171229"/>
        <s v="20180102"/>
        <s v="20180103"/>
        <s v="20180108"/>
        <s v="20180109"/>
        <s v="20180110"/>
        <s v="20180111"/>
        <s v="20180115"/>
        <s v="20180116"/>
        <s v="20180117"/>
        <s v="20180118"/>
        <s v="20180119"/>
        <s v="20180123"/>
        <s v="20180124"/>
        <s v="20180125"/>
        <s v="20180126"/>
        <s v="20180129"/>
        <s v="20180130"/>
        <s v="20180131"/>
        <s v="20180201"/>
        <s v="20180202"/>
        <s v="20180205"/>
        <s v="20180206"/>
        <s v="20180207"/>
        <s v="20180208"/>
        <s v="20180209"/>
        <s v="20180212"/>
        <s v="20180213"/>
        <s v="20180214"/>
        <s v="20180222"/>
        <s v="20180223"/>
        <s v="20180226"/>
        <s v="20180227"/>
        <s v="20180228"/>
        <s v="20180301"/>
        <s v="20180302"/>
        <s v="20180305"/>
        <s v="20180306"/>
        <s v="20180307"/>
        <s v="20180320"/>
        <s v="20180321"/>
        <s v="20180323"/>
        <s v="20180329"/>
        <s v="20180330"/>
        <s v="20180402"/>
        <s v="20180403"/>
        <s v="20180404"/>
        <s v="20180417"/>
        <s v="20180423"/>
        <s v="20180424"/>
        <s v="20180425"/>
        <s v="20180426"/>
        <s v="20180427"/>
        <s v="20180601"/>
        <s v="20180605"/>
        <s v="20180606"/>
        <s v="20180607"/>
        <s v="20180608"/>
        <s v="20180620"/>
        <s v="20180621"/>
        <s v="20180626"/>
        <s v="20180702"/>
        <s v="20180801"/>
        <s v="20180808"/>
        <s v="20180816"/>
        <s v="20180817"/>
        <s v="20180821"/>
        <s v="20180903"/>
        <s v="20180904"/>
        <s v="20180914"/>
        <s v="20180920"/>
        <s v="20180921"/>
        <s v="20181015"/>
        <s v="20181203"/>
        <s v="20181217"/>
        <s v="20181220"/>
        <s v="20181221"/>
        <s v="20190315"/>
        <s v="20190318"/>
        <s v="20190319"/>
        <s v="20190320"/>
        <s v="20190321"/>
        <s v="20190403"/>
        <s v="20190417"/>
        <s v="20190418"/>
        <s v="20190524"/>
        <s v="20190620"/>
        <s v="20190621"/>
        <s v="20190626"/>
        <s v="20190920"/>
        <s v="20190923"/>
        <s v="20191203"/>
        <s v="20191205"/>
        <s v="20191206"/>
        <s v="20191209"/>
        <s v="20191210"/>
        <s v="20191216"/>
        <s v="20191220"/>
        <s v="20191223"/>
        <s v="20200121"/>
        <s v="20200205"/>
        <s v="20200210"/>
        <s v="20200305"/>
        <s v="20200309"/>
        <s v="20200309_x0009_"/>
        <s v="20200310_x0009_"/>
        <s v="20200311_x0009_"/>
        <s v="20200312_x0009_"/>
        <s v="20200313"/>
        <s v="20200313_x0009_"/>
        <s v="20200316_x0009_"/>
        <s v="20200317_x0009_"/>
        <s v="20200318_x0009_"/>
        <s v="20200319"/>
        <s v="20200319_x0009_"/>
        <s v="20200320"/>
        <s v="20200320_x0009_"/>
        <s v="20200323"/>
        <s v="20200323_x0009_"/>
        <s v="20200324_x0009_"/>
        <s v="20200325_x0009_"/>
        <s v="20200326_x0009_"/>
        <s v="20200327_x0009_"/>
        <s v="20200330_x0009_"/>
        <s v="20200331_x0009_"/>
        <s v="20200401_x0009_"/>
        <s v="20200402_x0009_"/>
        <s v="20200403_x0009_"/>
        <s v="20200407_x0009_"/>
        <s v="20200408_x0009_"/>
        <s v="20200409_x0009_"/>
        <s v="20200414_x0009_"/>
        <s v="20200415_x0009_"/>
        <s v="20200416_x0009_"/>
        <s v="20200417_x0009_"/>
        <s v="20200420_x0009_"/>
        <s v="20200421_x0009_"/>
        <s v="20200422_x0009_"/>
        <s v="20200423_x0009_"/>
        <s v="20200424_x0009_"/>
        <s v="20200427_x0009_"/>
        <s v="20200428_x0009_"/>
        <s v="20200429_x0009_"/>
        <s v="20200506_x0009_"/>
        <s v="20200507_x0009_"/>
        <s v="20200508_x0009_"/>
        <s v="20200511_x0009_"/>
        <s v="20200512_x0009_"/>
        <s v="20200513_x0009_"/>
        <s v="20200514"/>
        <s v="20200514_x0009_"/>
        <s v="20200515_x0009_"/>
        <s v="20200518_x0009_"/>
        <s v="20200519_x0009_"/>
        <s v="20200520"/>
        <s v="20200520_x0009_"/>
        <s v="20200521"/>
        <s v="20200521_x0009_"/>
        <s v="20200522"/>
        <s v="20200522_x0009_"/>
        <s v="20200525"/>
        <s v="20200525_x0009_"/>
        <s v="20200526"/>
        <s v="20200526_x0009_"/>
        <s v="20200527"/>
        <s v="20200527_x0009_"/>
        <s v="20200528"/>
        <s v="20200528_x0009_"/>
        <s v="20200529"/>
        <s v="20200529_x0009_"/>
        <s v="20200601"/>
        <s v="20200601_x0009_"/>
        <s v="20200602"/>
        <s v="20200602_x0009_"/>
        <s v="20200603"/>
        <s v="20200603_x0009_"/>
        <s v="20200604"/>
        <s v="20200604_x0009_"/>
        <s v="20200605"/>
        <s v="20200605_x0009_"/>
        <s v="20200608"/>
        <s v="20200608_x0009_"/>
        <s v="20200609"/>
        <s v="20200609_x0009_"/>
        <s v="20200610_x0009_"/>
        <s v="20200611_x0009_"/>
        <s v="20200612"/>
        <s v="20200612_x0009_"/>
        <s v="20200615"/>
        <s v="20200615_x0009_"/>
        <s v="20200616"/>
        <s v="20200616_x0009_"/>
        <s v="20200617"/>
        <s v="20200617_x0009_"/>
        <s v="20200618"/>
        <s v="20200618_x0009_"/>
        <s v="20200619"/>
        <s v="20200619_x0009_"/>
        <s v="20200622"/>
        <s v="20200622_x0009_"/>
        <s v="20200623"/>
        <s v="20200623_x0009_"/>
        <s v="20200624"/>
        <s v="20200624_x0009_"/>
        <s v="20200629"/>
        <s v="20200629_x0009_"/>
        <s v="20200630_x0009_"/>
        <s v="20200701"/>
        <s v="20200702"/>
        <s v="20200703"/>
        <s v="20200706"/>
        <s v="20200707"/>
        <s v="20200708"/>
        <s v="20200709"/>
        <s v="20200710"/>
        <s v="20200713"/>
        <s v="20200714"/>
        <s v="20200715"/>
        <s v="20200716"/>
        <s v="20200717"/>
        <s v="20200720"/>
        <s v="20200721"/>
        <s v="20200722"/>
        <s v="20200723"/>
        <s v="20200724"/>
        <s v="20200727"/>
        <s v="20200728"/>
        <s v="20200729"/>
        <s v="20200730"/>
        <s v="20200731"/>
        <s v="20200803"/>
        <s v="20200804"/>
        <s v="20200805"/>
        <s v="20200806"/>
        <s v="20200807"/>
        <s v="20200810"/>
        <s v="20200811"/>
        <s v="20200812"/>
        <s v="20200813"/>
        <s v="20200814"/>
        <s v="20200817"/>
        <s v="20200818"/>
        <s v="20200819"/>
        <s v="20200820"/>
        <s v="20200821"/>
        <s v="20200824"/>
        <s v="20200825"/>
        <s v="20200826"/>
        <s v="20200827"/>
        <s v="20200828"/>
        <s v="20200831"/>
        <s v="20200901"/>
        <s v="20200902"/>
        <s v="20200903"/>
        <s v="20200904"/>
        <s v="20200907"/>
        <s v="20200908"/>
        <s v="20200909"/>
        <s v="20200910"/>
        <s v="20200911"/>
        <s v="20200914"/>
        <s v="20200915"/>
        <s v="20200916"/>
        <s v="20200917"/>
        <s v="20200918"/>
        <s v="20200921"/>
        <s v="20200922"/>
        <s v="20200923"/>
        <s v="20200924"/>
        <s v="20200925"/>
        <s v="20200928"/>
        <s v="20200929"/>
        <s v="20200930"/>
        <s v="20201009"/>
        <s v="20201012"/>
        <s v="20201013"/>
        <s v="20201014"/>
        <s v="20201015"/>
        <s v="20201016"/>
        <s v="20201019"/>
        <s v="20201020"/>
        <s v="20201021"/>
        <s v="20201022"/>
        <s v="20201023"/>
        <s v="20201026"/>
        <s v="20201027"/>
        <s v="20201028"/>
        <s v="20201029"/>
        <s v="20201030"/>
        <s v="20201102"/>
        <s v="20201103"/>
        <s v="20201104"/>
        <s v="20201105"/>
        <s v="20201106"/>
        <s v="20201109"/>
        <s v="20201110"/>
        <s v="20201111"/>
        <s v="20201112"/>
        <s v="20201113"/>
        <s v="20201116"/>
        <s v="20201117"/>
        <s v="20201118"/>
        <s v="20201119"/>
        <s v="20201120"/>
        <s v="20201123"/>
        <s v="20201124"/>
        <s v="20201125"/>
        <s v="20201126"/>
        <s v="20201127"/>
        <s v="20201130"/>
        <s v="20201201"/>
        <s v="20201202"/>
        <s v="20201203"/>
        <s v="20201204"/>
        <s v="20201207"/>
        <s v="20201208"/>
        <s v="20201209"/>
        <s v="20201210"/>
        <s v="20201211"/>
        <s v="20201214"/>
        <s v="20201215"/>
        <s v="20201216"/>
        <s v="20201217"/>
        <s v="20201218"/>
        <s v="20201221"/>
        <s v="20201222"/>
        <s v="20201223"/>
        <s v="20201224"/>
        <s v="20201228"/>
        <s v="20201229"/>
        <s v="20201230"/>
        <s v="20201231"/>
        <s v="20210104"/>
        <s v="20210105"/>
        <s v="20210106"/>
        <s v="20210107"/>
        <s v="20210108"/>
        <s v="20210111"/>
        <s v="20210112"/>
        <s v="20210113"/>
        <s v="20210114"/>
        <s v="20210115"/>
        <s v="20210118"/>
        <s v="20210119"/>
        <s v="20210120"/>
        <s v="20210121"/>
        <s v="20210122"/>
        <s v="20210125"/>
        <s v="20210126"/>
        <s v="20210127"/>
        <s v="20210128"/>
        <s v="20210129"/>
        <s v="20210201"/>
        <s v="20210202"/>
        <s v="20210203"/>
        <s v="20210204"/>
        <s v="20210205"/>
        <s v="20210208"/>
        <s v="20210209"/>
        <s v="20210210"/>
        <s v="20210218"/>
        <s v="20210219"/>
        <s v="20210222"/>
        <s v="20210223"/>
        <s v="20210224"/>
        <s v="20210225"/>
        <s v="20210226"/>
        <s v="20210301"/>
        <s v="20210302"/>
        <s v="20210303"/>
        <s v="20210304"/>
        <s v="20210305"/>
        <s v="20210308"/>
        <s v="20210309"/>
        <s v="20210310"/>
        <s v="20210311"/>
        <s v="20210312"/>
        <s v="20210315"/>
        <s v="20210316"/>
        <s v="20210317"/>
        <s v="20210318"/>
        <s v="20210319"/>
        <s v="20210322"/>
        <s v="20210323"/>
        <s v="20210324"/>
        <s v="20210325"/>
        <s v="20210326"/>
        <s v="20210329"/>
        <s v="20210330"/>
        <s v="20210331"/>
        <s v="20210401"/>
        <s v="20210407"/>
        <s v="20210408"/>
        <s v="20210409"/>
        <s v="20210412"/>
        <s v="20210413"/>
        <s v="20210414"/>
        <s v="20210415"/>
        <s v="20210416"/>
        <s v="20210419"/>
        <s v="20210420"/>
        <s v="20210421"/>
        <s v="20210422"/>
        <s v="20210423"/>
        <s v="20210426"/>
        <s v="20210427"/>
        <s v="20210428"/>
        <s v="20210429"/>
        <s v="20210430"/>
        <s v="20210506"/>
        <s v="20210507"/>
        <s v="20210510"/>
        <s v="20210511"/>
        <s v="20210512"/>
        <s v="20210513"/>
        <s v="20210514"/>
        <s v="20210517"/>
        <s v="20210518"/>
        <s v="20210519"/>
        <s v="20210520"/>
        <s v="20210521"/>
        <s v="20210524"/>
        <s v="20210525"/>
        <s v="20210526"/>
        <s v="20210527"/>
        <s v="20210528"/>
        <s v="20210531"/>
        <s v="20210601"/>
        <s v="20210602"/>
        <s v="20210603"/>
        <s v="20210604"/>
        <s v="20210607"/>
        <s v="20210608"/>
        <s v="20210609"/>
        <s v="20210610"/>
        <s v="20210611"/>
        <s v="20210615"/>
        <s v="20210616"/>
        <s v="20210617"/>
        <s v="20210618"/>
        <s v="20210621"/>
        <s v="20210622"/>
        <s v="20210623"/>
        <s v="20210624"/>
        <s v="20210625"/>
        <s v="20210628"/>
        <s v="20210629"/>
        <s v="20210630"/>
        <s v="20210701"/>
        <s v="20210702"/>
        <s v="20210705"/>
        <s v="20210706"/>
        <s v="20210707"/>
        <s v="20210708"/>
        <s v="20210709"/>
        <s v="20210712"/>
        <s v="20210713"/>
        <s v="20210714"/>
        <s v="20210715"/>
        <s v="20210716"/>
        <s v="20210719"/>
        <s v="20210720"/>
        <s v="20210721"/>
        <s v="20210722"/>
        <s v="20210723"/>
        <s v="20210726"/>
        <s v="20210727"/>
        <s v="20210728"/>
        <s v="20210729"/>
        <s v="20210730"/>
        <s v="20210802"/>
        <s v="20210803"/>
        <s v="20210804"/>
        <s v="20210805"/>
        <s v="20210806"/>
        <s v="20210809"/>
        <s v="20210810"/>
        <s v="20210811"/>
        <s v="20210812"/>
        <s v="20210813"/>
        <s v="20210816"/>
        <s v="20210817"/>
        <s v="20210818"/>
        <s v="20210819"/>
        <s v="20210820"/>
        <s v="20210823"/>
        <s v="20210824"/>
        <s v="20210825"/>
        <s v="20210826"/>
        <s v="20210827"/>
        <s v="20210830"/>
        <s v="20210831"/>
        <s v="20210901"/>
        <s v="20210902"/>
        <s v="20210903"/>
        <s v="20210906"/>
        <s v="20210907"/>
        <s v="20210908"/>
        <s v="20210909"/>
        <s v="20210910"/>
        <s v="20210913"/>
        <s v="20210914"/>
        <s v="20210915"/>
        <s v="20210916"/>
        <s v="20210917"/>
        <s v="20210923"/>
        <s v="20210924"/>
        <s v="20210927"/>
        <s v="20210928"/>
        <s v="20210929"/>
        <s v="20210930"/>
        <s v="20211008"/>
        <s v="20211011"/>
        <s v="20211012"/>
        <s v="20211013"/>
        <s v="20211014"/>
        <s v="20211015"/>
        <s v="20211018"/>
        <s v="20211019"/>
        <s v="20211020"/>
        <s v="20211021"/>
        <s v="20211022"/>
        <s v="20211025"/>
        <s v="20211026"/>
        <s v="20211027"/>
        <s v="20211028"/>
        <s v="20211029"/>
        <s v="20211101"/>
        <s v="20211102"/>
        <s v="20211103"/>
        <s v="20211104"/>
        <s v="20211105"/>
        <s v="20211108"/>
        <s v="20211109"/>
        <s v="20211110"/>
        <s v="20211111"/>
        <s v="20211112"/>
        <s v="20211115"/>
        <s v="20211116"/>
        <s v="20211117"/>
        <s v="20211118"/>
        <s v="20211119"/>
        <s v="20211122"/>
        <s v="20211123"/>
        <s v="20211124"/>
        <s v="20211125"/>
        <s v="20211126"/>
        <s v="20211129"/>
        <s v="20211130"/>
        <s v="20211201"/>
        <s v="20211202"/>
        <s v="20211203"/>
        <s v="20211206"/>
        <s v="20211207"/>
        <s v="20211208"/>
        <s v="20211209"/>
        <s v="20211210"/>
        <s v="20211213"/>
        <s v="20211214"/>
        <s v="20211215"/>
        <s v="20211216"/>
        <s v="20211217"/>
        <s v="20211220"/>
        <s v="20211221"/>
        <s v="20211222"/>
        <s v="20211223"/>
        <s v="20211224"/>
        <s v="20211227"/>
        <s v="20211228"/>
        <s v="20211229"/>
        <s v="20211230"/>
        <s v="20211231"/>
        <n v="20220104"/>
        <n v="20220105"/>
        <n v="20220106"/>
        <n v="20220107"/>
        <n v="20220110"/>
        <n v="20220111"/>
        <n v="20220112"/>
        <n v="20220113"/>
        <n v="20220114"/>
        <n v="20220117"/>
        <n v="20220118"/>
        <n v="20220119"/>
        <n v="20220120"/>
        <n v="20220121"/>
        <n v="20220124"/>
        <n v="20220125"/>
        <n v="20220126"/>
        <n v="20220127"/>
        <n v="20220128"/>
        <n v="20220207"/>
        <n v="20220208"/>
        <n v="20220209"/>
        <n v="20220210"/>
        <n v="20220211"/>
        <n v="20220214"/>
        <n v="20220215"/>
        <n v="20220216"/>
        <n v="20220217"/>
        <n v="20220218"/>
        <n v="20220221"/>
        <n v="20220222"/>
        <n v="20220223"/>
        <n v="20220224"/>
        <n v="20220225"/>
        <n v="20220228"/>
        <n v="20220301"/>
        <n v="20220302"/>
        <n v="20220303"/>
        <n v="20220304"/>
        <n v="20220307"/>
        <n v="20220308"/>
        <n v="20220309"/>
        <n v="20220310"/>
        <n v="20220311"/>
        <n v="20220314"/>
        <n v="20220315"/>
        <n v="20220316"/>
        <n v="20220317"/>
        <n v="20220318"/>
        <n v="20220321"/>
        <n v="20220322"/>
        <n v="20220323"/>
        <n v="20220324"/>
        <n v="20220325"/>
        <n v="20220328"/>
        <n v="20220329"/>
        <n v="20220330"/>
        <n v="20220331"/>
        <n v="20220401"/>
        <n v="20220406"/>
        <n v="20220407"/>
        <n v="20220408"/>
        <n v="20220411"/>
        <n v="20220412"/>
        <n v="20220413"/>
        <n v="20220414"/>
        <n v="20220419"/>
        <n v="20220420"/>
        <n v="20220421"/>
        <n v="20220422"/>
        <n v="20220425"/>
        <n v="20220426"/>
        <n v="20220427"/>
        <n v="20220428"/>
        <n v="20220429"/>
        <n v="20220505"/>
        <n v="20220506"/>
        <n v="20220510"/>
        <n v="20220511"/>
        <n v="20220512"/>
        <n v="20220513"/>
        <n v="20220516"/>
        <n v="20220517"/>
        <n v="20220518"/>
        <n v="20220519"/>
        <n v="20220520"/>
        <n v="20220523"/>
        <n v="20220524"/>
        <n v="20220525"/>
        <n v="20220526"/>
        <n v="20220527"/>
        <n v="20220530"/>
        <n v="20220531"/>
        <n v="20220601"/>
        <n v="20220602"/>
        <n v="20220606"/>
        <n v="20220607"/>
        <n v="20220608"/>
        <n v="20220609"/>
        <n v="20220610"/>
        <n v="20220613"/>
        <n v="20220614"/>
        <n v="20220615"/>
        <n v="20220616"/>
        <n v="20220617"/>
        <n v="20220620"/>
        <n v="20220621"/>
        <n v="20220622"/>
        <n v="20220623"/>
        <n v="20220624"/>
        <n v="20220627"/>
        <n v="20220628"/>
        <n v="20220629"/>
        <n v="20220630"/>
        <m/>
      </sharedItems>
    </cacheField>
    <cacheField name="委托日期" numFmtId="0">
      <sharedItems containsBlank="1" containsNumber="1" containsInteger="1" containsMixedTypes="1" count="1121">
        <s v="20110708"/>
        <s v="20110711"/>
        <s v="20110714"/>
        <s v="20110718"/>
        <s v="20110725"/>
        <s v="20110805"/>
        <s v="20110810"/>
        <s v="20110811"/>
        <s v="20110812"/>
        <s v="20110818"/>
        <s v="20110823"/>
        <s v="20110826"/>
        <s v="20110920"/>
        <s v="20110921"/>
        <s v="20110922"/>
        <s v="20111010"/>
        <s v="20111013"/>
        <s v="20111014"/>
        <s v="20111019"/>
        <s v="20111101"/>
        <s v="20111104"/>
        <s v="20111122"/>
        <s v="20111220"/>
        <s v="20111221"/>
        <s v="20120305"/>
        <s v="20120308"/>
        <s v="20120312"/>
        <s v="20120313"/>
        <s v="20120320"/>
        <s v="20120608"/>
        <s v="20120618"/>
        <s v="20120620"/>
        <s v="20120920"/>
        <s v="20121220"/>
        <s v="20121228"/>
        <s v="20130110"/>
        <s v="20130225"/>
        <s v="20130320"/>
        <s v="20130520"/>
        <s v="20130613"/>
        <s v="20130618"/>
        <s v="20130620"/>
        <s v="20130626"/>
        <s v="20130716"/>
        <s v="20130724"/>
        <s v="20130802"/>
        <s v="20130805"/>
        <s v="20130819"/>
        <s v="20130821"/>
        <s v="20130826"/>
        <s v="20130829"/>
        <s v="20130830"/>
        <s v="20130904"/>
        <s v="20130910"/>
        <s v="20130911"/>
        <s v="20130913"/>
        <s v="20130918"/>
        <s v="20130923"/>
        <s v="20130924"/>
        <s v="20130925"/>
        <s v="20130926"/>
        <s v="20131008"/>
        <s v="20131009"/>
        <s v="20131015"/>
        <s v="20131016"/>
        <s v="20131023"/>
        <s v="20131024"/>
        <s v="20131029"/>
        <s v="20131101"/>
        <s v="20131107"/>
        <s v="20131111"/>
        <s v="20131112"/>
        <s v="20131113"/>
        <s v="20131115"/>
        <s v="20131118"/>
        <s v="20131119"/>
        <s v="20131121"/>
        <s v="20131126"/>
        <s v="20131127"/>
        <s v="20131128"/>
        <s v="20131129"/>
        <s v="20131203"/>
        <s v="20131220"/>
        <s v="20140129"/>
        <s v="20140318"/>
        <s v="20140320"/>
        <s v="20140321"/>
        <s v="20140521"/>
        <s v="20140529"/>
        <s v="20140616"/>
        <s v="20140617"/>
        <s v="20140619"/>
        <s v="20140620"/>
        <s v="20140627"/>
        <s v="20140714"/>
        <s v="20140718"/>
        <s v="20140722"/>
        <s v="0"/>
        <s v="20140724"/>
        <s v="20140725"/>
        <s v="20140728"/>
        <s v="20140729"/>
        <s v="20140730"/>
        <s v="20140801"/>
        <s v="20140813"/>
        <s v="20140815"/>
        <s v="20140818"/>
        <s v="20140819"/>
        <s v="20140821"/>
        <s v="20140822"/>
        <s v="20140825"/>
        <s v="20140826"/>
        <s v="20140827"/>
        <s v="20140829"/>
        <s v="20140902"/>
        <s v="20140903"/>
        <s v="20140904"/>
        <s v="20140905"/>
        <s v="20140915"/>
        <s v="20140916"/>
        <s v="20140917"/>
        <s v="20140918"/>
        <s v="20140919"/>
        <s v="20140922"/>
        <s v="20140923"/>
        <s v="20140924"/>
        <s v="20140926"/>
        <s v="20141013"/>
        <s v="20141015"/>
        <s v="20141016"/>
        <s v="20141110"/>
        <s v="20141124"/>
        <s v="20141125"/>
        <s v="20141128"/>
        <s v="20141203"/>
        <s v="20141205"/>
        <s v="20141208"/>
        <s v="20141210"/>
        <s v="20141211"/>
        <s v="20141216"/>
        <s v="20141219"/>
        <s v="20141222"/>
        <s v="20141224"/>
        <s v="20150106"/>
        <s v="20150113"/>
        <s v="20150202"/>
        <s v="20150205"/>
        <s v="20150209"/>
        <s v="20150211"/>
        <s v="20150212"/>
        <s v="20150226"/>
        <s v="20150306"/>
        <s v="20150320"/>
        <s v="20150401"/>
        <s v="20150403"/>
        <s v="20150428"/>
        <s v="20150430"/>
        <s v="20150602"/>
        <s v="20150609"/>
        <s v="20150619"/>
        <s v="20150703"/>
        <s v="20150706"/>
        <s v="20150707"/>
        <s v="20150708"/>
        <s v="20150709"/>
        <s v="20150710"/>
        <s v="20150713"/>
        <s v="20150717"/>
        <s v="20150720"/>
        <s v="20150721"/>
        <s v="20150722"/>
        <s v="20150723"/>
        <s v="20150724"/>
        <s v="20150727"/>
        <s v="20150728"/>
        <s v="20150730"/>
        <s v="20150731"/>
        <s v="20150803"/>
        <s v="20150804"/>
        <s v="20150805"/>
        <s v="20150806"/>
        <s v="20150807"/>
        <s v="20150810"/>
        <s v="20150811"/>
        <s v="20150812"/>
        <s v="20150813"/>
        <s v="20150814"/>
        <s v="20150821"/>
        <s v="20150825"/>
        <s v="20150826"/>
        <s v="20150827"/>
        <s v="20150828"/>
        <s v="20150831"/>
        <s v="20150901"/>
        <s v="20150909"/>
        <s v="20150911"/>
        <s v="20150917"/>
        <s v="20150921"/>
        <s v="20150923"/>
        <s v="20150924"/>
        <s v="20150930"/>
        <s v="20151008"/>
        <s v="20151012"/>
        <s v="20151110"/>
        <s v="20151209"/>
        <s v="20151210"/>
        <s v="20151216"/>
        <s v="20151221"/>
        <s v="20160104"/>
        <s v="20160112"/>
        <s v="20160122"/>
        <s v="20160127"/>
        <s v="20160201"/>
        <s v="20160204"/>
        <s v="20160225"/>
        <s v="20160226"/>
        <s v="20160303"/>
        <s v="20160304"/>
        <s v="20160308"/>
        <s v="20160309"/>
        <s v="20160314"/>
        <s v="20160321"/>
        <s v="20160412"/>
        <s v="20160414"/>
        <s v="20160420"/>
        <s v="20160421"/>
        <s v="20160422"/>
        <s v="20160516"/>
        <s v="20160531"/>
        <s v="20160603"/>
        <s v="20160613"/>
        <s v="20160620"/>
        <s v="20160621"/>
        <s v="20160623"/>
        <s v="20160624"/>
        <s v="20160627"/>
        <s v="20160629"/>
        <s v="20160630"/>
        <s v="20160701"/>
        <s v="20160704"/>
        <s v="20160706"/>
        <s v="20160707"/>
        <s v="20160708"/>
        <s v="20160711"/>
        <s v="20160712"/>
        <s v="20160714"/>
        <s v="20160715"/>
        <s v="20160718"/>
        <s v="20160719"/>
        <s v="20160720"/>
        <s v="20160722"/>
        <s v="20160727"/>
        <s v="20160728"/>
        <m/>
        <s v="20160801"/>
        <s v="20160803"/>
        <s v="20160804"/>
        <s v="20160805"/>
        <s v="20160808"/>
        <s v="20160815"/>
        <s v="20160816"/>
        <s v="20160817"/>
        <s v="20160818"/>
        <s v="20160822"/>
        <s v="20160824"/>
        <s v="20160825"/>
        <s v="20160826"/>
        <s v="20160829"/>
        <s v="20160830"/>
        <s v="20160831"/>
        <s v="20160901"/>
        <s v="20160902"/>
        <s v="20160906"/>
        <s v="20160909"/>
        <s v="20160912"/>
        <s v="20160920"/>
        <s v="20160923"/>
        <s v="20161017"/>
        <s v="20161019"/>
        <s v="20161024"/>
        <s v="20161026"/>
        <s v="20161027"/>
        <s v="20161103"/>
        <s v="20161104"/>
        <s v="20161108"/>
        <s v="20161109"/>
        <s v="20161110"/>
        <s v="20161114"/>
        <s v="20161115"/>
        <s v="20161116"/>
        <s v="20161117"/>
        <s v="20161118"/>
        <s v="20161121"/>
        <s v="20161122"/>
        <s v="20161123"/>
        <s v="20161124"/>
        <s v="20161125"/>
        <s v="20161129"/>
        <s v="20161130"/>
        <s v="20161202"/>
        <s v="20161205"/>
        <s v="20161206"/>
        <s v="20161207"/>
        <s v="20161213"/>
        <s v="20161215"/>
        <s v="20161216"/>
        <s v="20161220"/>
        <s v="20161226"/>
        <s v="20161227"/>
        <s v="20161228"/>
        <s v="20161229"/>
        <s v="20161230"/>
        <s v="20170104"/>
        <s v="20170105"/>
        <s v="20170106"/>
        <s v="20170109"/>
        <s v="20170111"/>
        <s v="20170116"/>
        <s v="20170119"/>
        <s v="20170120"/>
        <s v="20170123"/>
        <s v="20170124"/>
        <s v="20170125"/>
        <s v="20170126"/>
        <s v="20170203"/>
        <s v="20170206"/>
        <s v="20170207"/>
        <s v="20170208"/>
        <s v="20170209"/>
        <s v="20170210"/>
        <s v="20170213"/>
        <s v="20170214"/>
        <s v="20170215"/>
        <s v="20170216"/>
        <s v="20170217"/>
        <s v="20170220"/>
        <s v="20170227"/>
        <s v="20170313"/>
        <s v="20170316"/>
        <s v="20170317"/>
        <s v="20170320"/>
        <s v="20170323"/>
        <s v="20170324"/>
        <s v="20170327"/>
        <s v="20170328"/>
        <s v="20170329"/>
        <s v="20170330"/>
        <s v="20170405"/>
        <s v="20170410"/>
        <s v="20170414"/>
        <s v="20170504"/>
        <s v="20170505"/>
        <s v="20170509"/>
        <s v="20170510"/>
        <s v="20170602"/>
        <s v="20170615"/>
        <s v="20170619"/>
        <s v="20170620"/>
        <s v="20170623"/>
        <s v="20170626"/>
        <s v="20170629"/>
        <s v="20170704"/>
        <s v="20170705"/>
        <s v="20170719"/>
        <s v="20170720"/>
        <s v="20170721"/>
        <s v="20170724"/>
        <s v="20170725"/>
        <s v="20170726"/>
        <s v="20170727"/>
        <s v="20170728"/>
        <s v="20170731"/>
        <s v="20170801"/>
        <s v="20170802"/>
        <s v="20170803"/>
        <s v="20170807"/>
        <s v="20170808"/>
        <s v="20170809"/>
        <s v="20170810"/>
        <s v="20170811"/>
        <s v="20170814"/>
        <s v="20170815"/>
        <s v="20170816"/>
        <s v="20170817"/>
        <s v="20170818"/>
        <s v="20170822"/>
        <s v="20170823"/>
        <s v="20170824"/>
        <s v="20170829"/>
        <s v="20170831"/>
        <s v="20170906"/>
        <s v="20170907"/>
        <s v="20170911"/>
        <s v="20170912"/>
        <s v="20170913"/>
        <s v="20170918"/>
        <s v="20170919"/>
        <s v="20170920"/>
        <s v="20170921"/>
        <s v="20170922"/>
        <s v="20170925"/>
        <s v="20170926"/>
        <s v="20170927"/>
        <s v="20170928"/>
        <s v="20170929"/>
        <s v="20171009"/>
        <s v="20171010"/>
        <s v="20171013"/>
        <s v="20171016"/>
        <s v="20171018"/>
        <s v="20171019"/>
        <s v="20171023"/>
        <s v="20171025"/>
        <s v="20171026"/>
        <s v="20171027"/>
        <s v="20171030"/>
        <s v="20171031"/>
        <s v="20171101"/>
        <s v="20171102"/>
        <s v="20171103"/>
        <s v="20171108"/>
        <s v="20171110"/>
        <s v="20171113"/>
        <s v="20171114"/>
        <s v="20171115"/>
        <s v="20171116"/>
        <s v="20171120"/>
        <s v="20171121"/>
        <s v="20171123"/>
        <s v="20171201"/>
        <s v="20171204"/>
        <s v="20171205"/>
        <s v="20171206"/>
        <s v="20171207"/>
        <s v="20171208"/>
        <s v="20171211"/>
        <s v="20171215"/>
        <s v="20171218"/>
        <s v="20171220"/>
        <s v="20171221"/>
        <s v="20171225"/>
        <s v="20171227"/>
        <s v="20171228"/>
        <s v="20171229"/>
        <s v="20180102"/>
        <s v="20180103"/>
        <s v="20180108"/>
        <s v="20180104"/>
        <s v="20180109"/>
        <s v="20180110"/>
        <s v="20180111"/>
        <s v="20180115"/>
        <s v="20180116"/>
        <s v="20180117"/>
        <s v="20180118"/>
        <s v="20180119"/>
        <s v="20180123"/>
        <s v="20180124"/>
        <s v="20180125"/>
        <s v="20180126"/>
        <s v="20180129"/>
        <s v="20180130"/>
        <s v="20180131"/>
        <s v="20180201"/>
        <s v="20180202"/>
        <s v="20180205"/>
        <s v="20180206"/>
        <s v="20180207"/>
        <s v="20180208"/>
        <s v="20180209"/>
        <s v="20180212"/>
        <s v="20180213"/>
        <s v="20180214"/>
        <s v="20180222"/>
        <s v="20180223"/>
        <s v="20180226"/>
        <s v="20180227"/>
        <s v="20180228"/>
        <s v="20180301"/>
        <s v="20180302"/>
        <s v="20180305"/>
        <s v="20180306"/>
        <s v="20180307"/>
        <s v="20180320"/>
        <s v="20180323"/>
        <s v="20180329"/>
        <s v="20180330"/>
        <s v="20180402"/>
        <s v="20180403"/>
        <s v="20180404"/>
        <s v="20180417"/>
        <s v="20180423"/>
        <s v="20180425"/>
        <s v="20180426"/>
        <s v="20180427"/>
        <s v="20180601"/>
        <s v="20180605"/>
        <s v="20180606"/>
        <s v="20180607"/>
        <s v="20180608"/>
        <s v="20180620"/>
        <s v="20180626"/>
        <s v="20180702"/>
        <s v="20180801"/>
        <s v="20180808"/>
        <s v="20180816"/>
        <s v="20180817"/>
        <s v="20180821"/>
        <s v="20180903"/>
        <s v="20180904"/>
        <s v="20180914"/>
        <s v="20180920"/>
        <s v="20181015"/>
        <s v="20181203"/>
        <s v="20181217"/>
        <s v="20181220"/>
        <s v="20190315"/>
        <s v="20190313"/>
        <s v="20190320"/>
        <s v="20190403"/>
        <s v="20190417"/>
        <s v="20190418"/>
        <s v="20190524"/>
        <s v="20190620"/>
        <s v="20190626"/>
        <s v="20190920"/>
        <s v="20191203"/>
        <s v="20191204"/>
        <s v="20191206"/>
        <s v="20191209"/>
        <s v="20191210"/>
        <s v="20191216"/>
        <s v="20191220"/>
        <s v="20200121"/>
        <s v="20200205"/>
        <s v="20200210"/>
        <s v="20200305"/>
        <s v="20200309"/>
        <s v="20200305_x0009_"/>
        <s v="20200310_x0009_"/>
        <s v="20200309_x0009_"/>
        <s v="20200311_x0009_"/>
        <s v="20200312_x0009_"/>
        <s v="20200313"/>
        <s v="20200313_x0009_"/>
        <s v="20200316_x0009_"/>
        <s v="20200317_x0009_"/>
        <s v="20200318_x0009_"/>
        <s v="20200319"/>
        <s v="20200319_x0009_"/>
        <s v="20200320"/>
        <s v="20200320_x0009_"/>
        <s v="20200323_x0009_"/>
        <s v="20200324_x0009_"/>
        <s v="20200325_x0009_"/>
        <s v="20200326_x0009_"/>
        <s v="20200327_x0009_"/>
        <s v="20200330_x0009_"/>
        <s v="20200331_x0009_"/>
        <s v="20200401_x0009_"/>
        <s v="20200402_x0009_"/>
        <s v="20200403_x0009_"/>
        <s v="20200407_x0009_"/>
        <s v="20200408_x0009_"/>
        <s v="20200409_x0009_"/>
        <s v="20200414_x0009_"/>
        <s v="20200415_x0009_"/>
        <s v="20200416_x0009_"/>
        <s v="20200417_x0009_"/>
        <s v="20200420_x0009_"/>
        <s v="20200421_x0009_"/>
        <s v="20200422_x0009_"/>
        <s v="20200423_x0009_"/>
        <s v="20200424_x0009_"/>
        <s v="20200427_x0009_"/>
        <s v="20200428_x0009_"/>
        <s v="20200429_x0009_"/>
        <s v="20200506_x0009_"/>
        <s v="20200507_x0009_"/>
        <s v="20200508_x0009_"/>
        <s v="20200511_x0009_"/>
        <s v="20200512_x0009_"/>
        <s v="20200513_x0009_"/>
        <s v="20200514"/>
        <s v="20200514_x0009_"/>
        <s v="20200515_x0009_"/>
        <s v="20200518_x0009_"/>
        <s v="20200519_x0009_"/>
        <s v="20200520"/>
        <s v="20200520_x0009_"/>
        <s v="20200521"/>
        <s v="20200521_x0009_"/>
        <s v="20200522"/>
        <s v="20200522_x0009_"/>
        <s v="20200525"/>
        <s v="20200525_x0009_"/>
        <s v="20200526"/>
        <s v="20200526_x0009_"/>
        <s v="20200527"/>
        <s v="20200527_x0009_"/>
        <s v="20200528"/>
        <s v="20200528_x0009_"/>
        <s v="20200529"/>
        <s v="20200529_x0009_"/>
        <s v="20200601"/>
        <s v="20200601_x0009_"/>
        <s v="20200602"/>
        <s v="20200602_x0009_"/>
        <s v="20200603"/>
        <s v="20200603_x0009_"/>
        <s v="20200604"/>
        <s v="20200604_x0009_"/>
        <s v="20200605"/>
        <s v="20200605_x0009_"/>
        <s v="20200608"/>
        <s v="20200608_x0009_"/>
        <s v="20200609"/>
        <s v="20200609_x0009_"/>
        <s v="20200610_x0009_"/>
        <s v="20200611_x0009_"/>
        <s v="20200612"/>
        <s v="20200612_x0009_"/>
        <s v="20200615"/>
        <s v="20200615_x0009_"/>
        <s v="20200616"/>
        <s v="20200616_x0009_"/>
        <s v="20200617"/>
        <s v="20200617_x0009_"/>
        <s v="20200618"/>
        <s v="20200618_x0009_"/>
        <s v="20200619"/>
        <s v="20200619_x0009_"/>
        <s v="20200622"/>
        <s v="20200622_x0009_"/>
        <s v="20200623"/>
        <s v="20200623_x0009_"/>
        <s v="20200624"/>
        <s v="20200624_x0009_"/>
        <s v="20200629"/>
        <s v="20200629_x0009_"/>
        <s v="20200630_x0009_"/>
        <s v="20200701"/>
        <s v="20200702"/>
        <s v="20200703"/>
        <s v="20200706"/>
        <s v="20200707"/>
        <s v="20200708"/>
        <s v="20200709"/>
        <s v="20200710"/>
        <s v="20200713"/>
        <s v="20200714"/>
        <s v="20200715"/>
        <s v="20200716"/>
        <s v="20200717"/>
        <s v="20200720"/>
        <s v="20200721"/>
        <s v="20200722"/>
        <s v="20200723"/>
        <s v="20200724"/>
        <s v="20200727"/>
        <s v="20200728"/>
        <s v="20200729"/>
        <s v="20200730"/>
        <s v="20200731"/>
        <s v="20200803"/>
        <s v="20200804"/>
        <s v="20200805"/>
        <s v="20200806"/>
        <s v="20200807"/>
        <s v="20200810"/>
        <s v="20200811"/>
        <s v="20200812"/>
        <s v="20200813"/>
        <s v="20200814"/>
        <s v="20200817"/>
        <s v="20200818"/>
        <s v="20200819"/>
        <s v="20200820"/>
        <s v="20200821"/>
        <s v="20200824"/>
        <s v="20200825"/>
        <s v="20200826"/>
        <s v="20200827"/>
        <s v="20200828"/>
        <s v="20200831"/>
        <s v="20200901"/>
        <s v="20200902"/>
        <s v="20200903"/>
        <s v="20200904"/>
        <s v="20200907"/>
        <s v="20200908"/>
        <s v="20200909"/>
        <s v="20200910"/>
        <s v="20200911"/>
        <s v="20200914"/>
        <s v="20200915"/>
        <s v="20200916"/>
        <s v="20200917"/>
        <s v="20200918"/>
        <s v="20200921"/>
        <s v="20200922"/>
        <s v="20200923"/>
        <s v="20200924"/>
        <s v="20200925"/>
        <s v="20200928"/>
        <s v="20200929"/>
        <s v="20200930"/>
        <s v="20201009"/>
        <s v="20201012"/>
        <s v="20201013"/>
        <s v="20201014"/>
        <s v="20201015"/>
        <s v="20201016"/>
        <s v="20201019"/>
        <s v="20201020"/>
        <s v="20201021"/>
        <s v="20201022"/>
        <s v="20201023"/>
        <s v="20201026"/>
        <s v="20201027"/>
        <s v="20201028"/>
        <s v="20201029"/>
        <s v="20201030"/>
        <s v="20201102"/>
        <s v="20201103"/>
        <s v="20201104"/>
        <s v="20201105"/>
        <s v="20201106"/>
        <s v="20201109"/>
        <s v="20201110"/>
        <s v="20201111"/>
        <s v="20201112"/>
        <s v="20201113"/>
        <s v="20201116"/>
        <s v="20201117"/>
        <s v="20201118"/>
        <s v="20201119"/>
        <s v="20201120"/>
        <s v="20201123"/>
        <s v="20201124"/>
        <s v="20201125"/>
        <s v="20201126"/>
        <s v="20201127"/>
        <s v="20201130"/>
        <s v="20201201"/>
        <s v="20201202"/>
        <s v="20201203"/>
        <s v="20201204"/>
        <s v="20201207"/>
        <s v="20201208"/>
        <s v="20201209"/>
        <s v="20201210"/>
        <s v="20201211"/>
        <s v="20201214"/>
        <s v="20201215"/>
        <s v="20201216"/>
        <s v="20201217"/>
        <s v="20201218"/>
        <s v="20201221"/>
        <s v="20201222"/>
        <s v="20201223"/>
        <s v="20201224"/>
        <s v="20201228"/>
        <s v="20201229"/>
        <s v="20201230"/>
        <s v="20201231"/>
        <s v="20210104"/>
        <s v="20210105"/>
        <s v="20210106"/>
        <s v="20210107"/>
        <s v="20210108"/>
        <s v="20210111"/>
        <s v="20210112"/>
        <s v="20210113"/>
        <s v="20210114"/>
        <s v="20210115"/>
        <s v="20210118"/>
        <s v="20210119"/>
        <s v="20210120"/>
        <s v="20210121"/>
        <s v="20210122"/>
        <s v="20210125"/>
        <s v="20210126"/>
        <s v="20210127"/>
        <s v="20210128"/>
        <s v="20210129"/>
        <s v="20210201"/>
        <s v="20210202"/>
        <s v="20210203"/>
        <s v="20210204"/>
        <s v="20210205"/>
        <s v="20210208"/>
        <s v="20210209"/>
        <s v="20210210"/>
        <s v="20210218"/>
        <s v="20210219"/>
        <s v="20210222"/>
        <s v="20210223"/>
        <s v="20210224"/>
        <s v="20210225"/>
        <s v="20210226"/>
        <s v="20210301"/>
        <s v="20210302"/>
        <s v="20210303"/>
        <s v="20210304"/>
        <s v="20210305"/>
        <s v="20210308"/>
        <s v="20210309"/>
        <s v="20210310"/>
        <s v="20210311"/>
        <s v="20210312"/>
        <s v="20210315"/>
        <s v="20210316"/>
        <s v="20210317"/>
        <s v="20210318"/>
        <s v="20210319"/>
        <s v="20210322"/>
        <s v="20210323"/>
        <s v="20210324"/>
        <s v="20210325"/>
        <s v="20210326"/>
        <s v="20210329"/>
        <s v="20210330"/>
        <s v="20210331"/>
        <s v="20210401"/>
        <s v="20210407"/>
        <s v="20210408"/>
        <s v="20210409"/>
        <s v="20210412"/>
        <s v="20210413"/>
        <s v="20210414"/>
        <s v="20210415"/>
        <s v="20210416"/>
        <s v="20210419"/>
        <s v="20210420"/>
        <s v="20210421"/>
        <s v="20210422"/>
        <s v="20210423"/>
        <s v="20210426"/>
        <s v="20210427"/>
        <s v="20210428"/>
        <s v="20210429"/>
        <s v="20210430"/>
        <s v="20210506"/>
        <s v="20210507"/>
        <s v="20210510"/>
        <s v="20210511"/>
        <s v="20210512"/>
        <s v="20210513"/>
        <s v="20210514"/>
        <s v="20210517"/>
        <s v="20210518"/>
        <s v="20210519"/>
        <s v="20210520"/>
        <s v="20210521"/>
        <s v="20210524"/>
        <s v="20210525"/>
        <s v="20210526"/>
        <s v="20210527"/>
        <s v="20210528"/>
        <s v="20210531"/>
        <s v="20210601"/>
        <s v="20210602"/>
        <s v="20210603"/>
        <s v="20210604"/>
        <s v="20210607"/>
        <s v="20210608"/>
        <s v="20210609"/>
        <s v="20210610"/>
        <s v="20210611"/>
        <s v="20210615"/>
        <s v="20210616"/>
        <s v="20210617"/>
        <s v="20210618"/>
        <s v="20210621"/>
        <s v="20210622"/>
        <s v="20210623"/>
        <s v="20210624"/>
        <s v="20210625"/>
        <s v="20210628"/>
        <s v="20210629"/>
        <s v="20210630"/>
        <s v="20210701"/>
        <s v="20210702"/>
        <s v="20210705"/>
        <s v="20210706"/>
        <s v="20210707"/>
        <s v="20210708"/>
        <s v="20210709"/>
        <s v="20210712"/>
        <s v="20210713"/>
        <s v="20210714"/>
        <s v="20210715"/>
        <s v="20210716"/>
        <s v="20210719"/>
        <s v="20210720"/>
        <s v="20210721"/>
        <s v="20210722"/>
        <s v="20210723"/>
        <s v="20210726"/>
        <s v="20210727"/>
        <s v="20210728"/>
        <s v="20210729"/>
        <s v="20210730"/>
        <s v="20210802"/>
        <s v="20210803"/>
        <s v="20210804"/>
        <s v="20210805"/>
        <s v="20210806"/>
        <s v="20210809"/>
        <s v="20210810"/>
        <s v="20210811"/>
        <s v="20210812"/>
        <s v="20210813"/>
        <s v="20210816"/>
        <s v="20210817"/>
        <s v="20210818"/>
        <s v="20210819"/>
        <s v="20210820"/>
        <s v="20210823"/>
        <s v="20210824"/>
        <s v="20210825"/>
        <s v="20210826"/>
        <s v="20210827"/>
        <s v="20210830"/>
        <s v="20210831"/>
        <s v="20210901"/>
        <s v="20210902"/>
        <s v="20210903"/>
        <s v="20210906"/>
        <s v="20210907"/>
        <s v="20210908"/>
        <s v="20210909"/>
        <s v="20210910"/>
        <s v="20210913"/>
        <s v="20210914"/>
        <s v="20210915"/>
        <s v="20210916"/>
        <s v="20210917"/>
        <s v="20210923"/>
        <s v="20210924"/>
        <s v="20210927"/>
        <s v="20210928"/>
        <s v="20210929"/>
        <s v="20210930"/>
        <s v="20211008"/>
        <s v="20211011"/>
        <s v="20211012"/>
        <s v="20211013"/>
        <s v="20211014"/>
        <s v="20211015"/>
        <s v="20211018"/>
        <s v="20211019"/>
        <s v="20211020"/>
        <s v="20211021"/>
        <s v="20211022"/>
        <s v="20211025"/>
        <s v="20211026"/>
        <s v="20211027"/>
        <s v="20211028"/>
        <s v="20211029"/>
        <s v="20211101"/>
        <s v="20211102"/>
        <s v="20211103"/>
        <s v="20211104"/>
        <s v="20211105"/>
        <s v="20211108"/>
        <s v="20211109"/>
        <s v="20211110"/>
        <s v="20211111"/>
        <s v="20211112"/>
        <s v="20211115"/>
        <s v="20211116"/>
        <s v="20211117"/>
        <s v="20211118"/>
        <s v="20211119"/>
        <s v="20211122"/>
        <s v="20211123"/>
        <s v="20211124"/>
        <s v="20211125"/>
        <s v="20211126"/>
        <s v="20211129"/>
        <s v="20211130"/>
        <s v="20211201"/>
        <s v="20211202"/>
        <s v="20211203"/>
        <s v="20211206"/>
        <s v="20211207"/>
        <s v="20211208"/>
        <s v="20211209"/>
        <s v="20211210"/>
        <s v="20211213"/>
        <s v="20211214"/>
        <s v="20211215"/>
        <s v="20211216"/>
        <s v="20211217"/>
        <s v="20211220"/>
        <s v="20211221"/>
        <s v="20211222"/>
        <s v="20211223"/>
        <s v="20211224"/>
        <s v="20211227"/>
        <s v="20211228"/>
        <s v="20211229"/>
        <s v="20211230"/>
        <s v="20211231"/>
        <n v="20220104"/>
        <n v="20220105"/>
        <n v="20220106"/>
        <n v="20220107"/>
        <n v="20220110"/>
        <n v="20220111"/>
        <n v="20220112"/>
        <n v="20220113"/>
        <n v="20220114"/>
        <n v="20220117"/>
        <n v="20220118"/>
        <n v="20220119"/>
        <n v="20220120"/>
        <n v="20220121"/>
        <n v="20220124"/>
        <n v="20220125"/>
        <n v="20220126"/>
        <n v="20220127"/>
        <n v="20220128"/>
        <n v="20220207"/>
        <n v="20220208"/>
        <n v="20220209"/>
        <n v="20220210"/>
        <n v="20220211"/>
        <n v="20220214"/>
        <n v="20220215"/>
        <n v="20220216"/>
        <n v="20220217"/>
        <n v="20220218"/>
        <n v="20220221"/>
        <n v="20220222"/>
        <n v="20220223"/>
        <n v="20220224"/>
        <n v="20220225"/>
        <n v="20220228"/>
        <n v="20220301"/>
        <n v="20220302"/>
        <n v="20220303"/>
        <n v="20220304"/>
        <n v="20220307"/>
        <n v="20220308"/>
        <n v="20220309"/>
        <n v="20220310"/>
        <n v="20220311"/>
        <n v="20220314"/>
        <n v="20220315"/>
        <n v="20220316"/>
        <n v="20220317"/>
        <n v="20220318"/>
        <n v="20220321"/>
        <n v="20220322"/>
        <n v="0"/>
        <n v="20220323"/>
        <n v="20220324"/>
        <n v="20220325"/>
        <n v="20220328"/>
        <n v="20220329"/>
        <n v="20220330"/>
        <n v="20220331"/>
        <n v="20220401"/>
        <n v="20220406"/>
        <n v="20220407"/>
        <n v="20220408"/>
        <n v="20220411"/>
        <n v="20220412"/>
        <n v="20220413"/>
        <n v="20220414"/>
        <n v="20220419"/>
        <n v="20220420"/>
        <n v="20220421"/>
        <n v="20220422"/>
        <n v="20220425"/>
        <n v="20220426"/>
        <n v="20220427"/>
        <n v="20220428"/>
        <n v="20220429"/>
        <n v="20220505"/>
        <n v="20220506"/>
        <n v="20220510"/>
        <n v="20220511"/>
        <n v="20220512"/>
        <n v="20220513"/>
        <n v="20220516"/>
        <n v="20220517"/>
        <n v="20220518"/>
        <n v="20220519"/>
        <n v="20220520"/>
        <n v="20220523"/>
        <n v="20220524"/>
        <n v="20220525"/>
        <n v="20220526"/>
        <n v="20220527"/>
        <n v="20220530"/>
        <n v="20220531"/>
        <n v="20220601"/>
        <n v="20220602"/>
        <n v="20220606"/>
        <n v="20220607"/>
        <n v="20220608"/>
        <n v="20220609"/>
        <n v="20220610"/>
        <n v="20220613"/>
        <n v="20220614"/>
        <n v="20220615"/>
        <n v="20220616"/>
        <n v="20220617"/>
        <n v="20220620"/>
        <n v="20220621"/>
        <n v="20220622"/>
        <n v="20220623"/>
        <n v="20220624"/>
        <n v="20220627"/>
        <n v="20220628"/>
        <n v="20220629"/>
        <n v="20220630"/>
      </sharedItems>
    </cacheField>
    <cacheField name="业务类型" numFmtId="0">
      <sharedItems containsBlank="1" count="46">
        <s v="指定交易"/>
        <s v="银行转证券"/>
        <s v="证券买入"/>
        <s v="证券卖出"/>
        <s v="证券转银行"/>
        <s v="利息归本"/>
        <s v="红利入账"/>
        <s v="融券回购"/>
        <s v="融券购回"/>
        <s v="股息红利差异扣税"/>
        <s v="ETF 申购退款"/>
        <s v="ETF 基金赎回"/>
        <s v="股份转出"/>
        <s v="股份转入"/>
        <s v="开放基金拆分减股"/>
        <s v="开放基金拆分增股"/>
        <s v="开放基金申购"/>
        <s v="开放基金合并减股"/>
        <s v="开放基金合并增股"/>
        <s v="开放基金赎回"/>
        <s v="基金下折"/>
        <s v="基金上折"/>
        <s v="红股入账"/>
        <s v="基金申购拨出"/>
        <s v="基金赎回拨入"/>
        <s v="基金红利拨入"/>
        <s v="配售缴款"/>
        <s v="配售股份"/>
        <s v="新股入帐"/>
        <s v="删除过期证券"/>
        <s v="资管计划实时取现"/>
        <s v="资管T0取现拨入"/>
        <s v="债券兑息"/>
        <s v="债券兑息兑付扣税"/>
        <s v="中签股份下账"/>
        <s v="港股通股票买入_x0009_"/>
        <s v="港股通组合费_x0009_"/>
        <s v="港股通红利发放_x0009_"/>
        <s v="港股通组合费"/>
        <s v="港股通股票买入"/>
        <s v="港股通股票卖出"/>
        <s v="港股通红利发放"/>
        <s v="新股申购"/>
        <s v="申购还款"/>
        <s v="港股通卖出"/>
        <m/>
      </sharedItems>
    </cacheField>
    <cacheField name="证券代码" numFmtId="0">
      <sharedItems containsBlank="1" containsNumber="1" containsInteger="1" containsMixedTypes="1" count="96">
        <s v="799999"/>
        <m/>
        <s v="600664"/>
        <s v="600829"/>
        <s v="002500"/>
        <s v="600270"/>
        <s v="600583"/>
        <s v="131801"/>
        <s v="131802"/>
        <s v="002609"/>
        <s v="000606"/>
        <s v="131803"/>
        <s v="601607"/>
        <s v="601398"/>
        <s v="122535"/>
        <s v="600066"/>
        <s v="511990"/>
        <s v="601166"/>
        <s v="601088"/>
        <s v="150181"/>
        <s v="511991"/>
        <s v="000868"/>
        <s v="150182"/>
        <s v="161024"/>
        <s v="600219"/>
        <s v="601179"/>
        <s v="510300"/>
        <s v="150175"/>
        <s v="150295"/>
        <s v="150296"/>
        <s v="160136"/>
        <s v="600789"/>
        <s v="600597"/>
        <s v="002197"/>
        <s v="150209"/>
        <s v="161026"/>
        <s v="162411"/>
        <s v="600886"/>
        <s v="000939"/>
        <s v="000667"/>
        <s v="002717"/>
        <s v="600297"/>
        <s v="600894"/>
        <s v="002183"/>
        <s v="600575"/>
        <s v="600165"/>
        <s v="600365"/>
        <s v="000700"/>
        <s v="150197"/>
        <s v="AA0007"/>
        <s v="002543"/>
        <s v="000601"/>
        <s v="131811"/>
        <s v="131810"/>
        <s v="150276"/>
        <s v="040008"/>
        <s v="150153"/>
        <s v="300463"/>
        <s v="000670"/>
        <s v="300195"/>
        <s v="072271"/>
        <s v="128016"/>
        <s v="000768"/>
        <s v="002036"/>
        <s v="072318"/>
        <s v="128019"/>
        <s v="150201"/>
        <s v="072284"/>
        <s v="730025"/>
        <s v="072142"/>
        <s v="128023"/>
        <s v="600025"/>
        <s v="119931"/>
        <s v="128024"/>
        <s v="002925"/>
        <s v="732506"/>
        <s v="603506"/>
        <s v="159949"/>
        <s v="002015"/>
        <s v="002958"/>
        <s v="600028"/>
        <s v="00386"/>
        <s v=""/>
        <s v="502012"/>
        <s v="003016"/>
        <s v="01099"/>
        <s v="600722"/>
        <s v="002484"/>
        <s v="300355"/>
        <s v="159781"/>
        <s v="889688"/>
        <s v="001227"/>
        <s v="787047"/>
        <s v="688047"/>
        <n v="1099" u="1"/>
        <n v="386" u="1"/>
      </sharedItems>
    </cacheField>
    <cacheField name="证券名称" numFmtId="0">
      <sharedItems containsBlank="1" count="100">
        <s v="登记指定"/>
        <m/>
        <s v="哈药股份"/>
        <s v="三精制药"/>
        <s v="山西证券"/>
        <s v="外运发展"/>
        <s v="海油工程"/>
        <s v="Ｒ-007"/>
        <s v="Ｒ-014"/>
        <s v="捷顺科技"/>
        <s v="青海明胶"/>
        <s v="Ｒ-028"/>
        <s v="上海医药"/>
        <s v="工商银行"/>
        <s v="12苏飞达"/>
        <s v="宇通客车"/>
        <s v="华宝添益"/>
        <s v="兴业银行"/>
        <s v="中国神华"/>
        <s v="军工A"/>
        <s v="添益申赎"/>
        <s v="安凯客车"/>
        <s v="军工B"/>
        <s v="富国军工"/>
        <s v="南山铝业"/>
        <s v="中国西电"/>
        <s v="军工分级"/>
        <s v="300ETF"/>
        <s v="H股A"/>
        <s v="改革A"/>
        <s v="改革B"/>
        <s v="改革基金"/>
        <s v="鲁抗医药"/>
        <s v="光明乳业"/>
        <s v="证通电子"/>
        <s v="国企改A"/>
        <s v="国企改革"/>
        <s v="华宝油气"/>
        <s v="国投电力"/>
        <s v="凯迪生态"/>
        <s v="美好集团"/>
        <s v="岭南园林"/>
        <s v="广汇汽车"/>
        <s v="广日股份"/>
        <s v="怡 亚 通"/>
        <s v="皖江物流"/>
        <s v="新日恒力"/>
        <s v="DR南山铝"/>
        <s v="通葡股份"/>
        <s v="模塑科技"/>
        <s v="有色B"/>
        <s v="银河水星1号集合"/>
        <s v="万和电气"/>
        <s v="韶能股份"/>
        <s v="Ｒ-002"/>
        <s v="Ｒ-001"/>
        <s v="一带一B"/>
        <s v="华安优选"/>
        <s v="创业板B"/>
        <s v="迈克生物"/>
        <s v="盈方微"/>
        <s v="长荣股份"/>
        <s v="雨虹发债"/>
        <s v="新代码"/>
        <s v="雨虹转债"/>
        <s v="中航飞机"/>
        <s v="联创电子"/>
        <s v="久立发债"/>
        <s v="券商B"/>
        <s v="久立转2"/>
        <s v="亚太发债"/>
        <s v="华能申购"/>
        <s v="宁行发债"/>
        <s v="水星1号"/>
        <s v="华能水电"/>
        <s v="盈趣科技"/>
        <s v="宁行转债"/>
        <s v="南都申购"/>
        <s v="创业板50"/>
        <s v="南都物业"/>
        <s v="霞客环保"/>
        <s v="亚太转债"/>
        <s v="青农商行"/>
        <s v="中国石化"/>
        <s v="中国石油_x0009_"/>
        <s v="_x0009_"/>
        <s v="证券B"/>
        <s v=""/>
        <s v="中国石油"/>
        <s v="欣贺股份"/>
        <s v="国药控股"/>
        <s v="银河水星1号"/>
        <s v="金牛化工"/>
        <s v="江海股份"/>
        <s v="蒙草生态"/>
        <s v="科创创业"/>
        <s v="威博液压"/>
        <s v="兰州银行"/>
        <s v="龙芯申购"/>
        <s v="N龙芯"/>
      </sharedItems>
    </cacheField>
    <cacheField name="成交价格" numFmtId="0">
      <sharedItems containsString="0" containsBlank="1" containsNumber="1" minValue="0" maxValue="119.366" count="783">
        <n v="0"/>
        <n v="16.38"/>
        <n v="17.18"/>
        <n v="10.62"/>
        <n v="10.29"/>
        <n v="11.88"/>
        <n v="12.35"/>
        <n v="12.01"/>
        <n v="8.5"/>
        <n v="9.11"/>
        <n v="11.34"/>
        <n v="11.81"/>
        <n v="8.52"/>
        <n v="7.48"/>
        <n v="7.19"/>
        <n v="7.37"/>
        <n v="6.22"/>
        <n v="7.5"/>
        <n v="6.54"/>
        <n v="3.6"/>
        <n v="3.72"/>
        <n v="4.134"/>
        <n v="4.2"/>
        <n v="4.5"/>
        <n v="14.93"/>
        <n v="14.55"/>
        <n v="9.26"/>
        <n v="9.15"/>
        <n v="6.62"/>
        <n v="9.4"/>
        <n v="7"/>
        <n v="4.81"/>
        <n v="4.61"/>
        <n v="4.355"/>
        <n v="5.01"/>
        <n v="5.3"/>
        <n v="10.25"/>
        <n v="10.05"/>
        <n v="9.88"/>
        <n v="4.55"/>
        <n v="4.77"/>
        <n v="6.1"/>
        <n v="5.1"/>
        <n v="6.9"/>
        <n v="15.56"/>
        <n v="6.52"/>
        <n v="15.69"/>
        <n v="14.45"/>
        <n v="13.6"/>
        <n v="7.22"/>
        <n v="7.3"/>
        <n v="7.51"/>
        <n v="7.7"/>
        <n v="7.65"/>
        <n v="7.62"/>
        <n v="7.34"/>
        <n v="7.45"/>
        <n v="7.57"/>
        <n v="7.43"/>
        <n v="7.73"/>
        <n v="7.63"/>
        <n v="7.78"/>
        <n v="7.83"/>
        <n v="7.91"/>
        <n v="7.647"/>
        <n v="15.41"/>
        <n v="7.71"/>
        <n v="15.05"/>
        <n v="15.28"/>
        <n v="15.43"/>
        <n v="15.54"/>
        <n v="15.67"/>
        <n v="15.65"/>
        <n v="7.59"/>
        <n v="6.76"/>
        <n v="7.53"/>
        <n v="14.9"/>
        <n v="15.03"/>
        <n v="7.36"/>
        <n v="3.41"/>
        <n v="7.07"/>
        <n v="7.05"/>
        <n v="6.26"/>
        <n v="5.34"/>
        <n v="12.07"/>
        <n v="101.074"/>
        <n v="101.06"/>
        <n v="102.442"/>
        <n v="12.29"/>
        <n v="102.026"/>
        <n v="12.38"/>
        <n v="6.07"/>
        <n v="3.44"/>
        <n v="101.529"/>
        <n v="17.99"/>
        <n v="17.97"/>
        <n v="12.39"/>
        <n v="17.89"/>
        <n v="18.25"/>
        <n v="18.17"/>
        <n v="18.18"/>
        <n v="12.27"/>
        <n v="18.16"/>
        <n v="5.89"/>
        <n v="5.88"/>
        <n v="99.967"/>
        <n v="101.9"/>
        <n v="100.012"/>
        <n v="12.44"/>
        <n v="10.31"/>
        <n v="14.46"/>
        <n v="15.32"/>
        <n v="12.67"/>
        <n v="10.86"/>
        <n v="12.79"/>
        <n v="12.75"/>
        <n v="0.895"/>
        <n v="102.847"/>
        <n v="0.887"/>
        <n v="99.993"/>
        <n v="5.43"/>
        <n v="1.513"/>
        <n v="5.44"/>
        <n v="1.535"/>
        <n v="12.93"/>
        <n v="1.527"/>
        <n v="0.903"/>
        <n v="1.578"/>
        <n v="1.565"/>
        <n v="1.55"/>
        <n v="13.06"/>
        <n v="1.576"/>
        <n v="12.8"/>
        <n v="12.87"/>
        <n v="1.573"/>
        <n v="1.571"/>
        <n v="1.566"/>
        <n v="5.38"/>
        <n v="99.984"/>
        <n v="1.54"/>
        <n v="99.964"/>
        <n v="99.952"/>
        <n v="99.969"/>
        <n v="100.014"/>
        <n v="10.46"/>
        <n v="6.86"/>
        <n v="6.71"/>
        <n v="10.56"/>
        <n v="1.964"/>
        <n v="10.59"/>
        <n v="1.897"/>
        <n v="1.97"/>
        <n v="1.941"/>
        <n v="1.832"/>
        <n v="1.853"/>
        <n v="13.94"/>
        <n v="1.828"/>
        <n v="1.833"/>
        <n v="1.84"/>
        <n v="14.56"/>
        <n v="1.87"/>
        <n v="1.871"/>
        <n v="1.916"/>
        <n v="1.961"/>
        <n v="99.947"/>
        <n v="1.233"/>
        <n v="0.88"/>
        <n v="99.65"/>
        <n v="99.72"/>
        <n v="99.839"/>
        <n v="100.011"/>
        <n v="99.981"/>
        <n v="16.39"/>
        <n v="0.835"/>
        <n v="100.003"/>
        <n v="0.836"/>
        <n v="15.77"/>
        <n v="0.855"/>
        <n v="0.845"/>
        <n v="1.094"/>
        <n v="0.806"/>
        <n v="1.618"/>
        <n v="0.818"/>
        <n v="1.484"/>
        <n v="0.788"/>
        <n v="99.799"/>
        <n v="0.829"/>
        <n v="10.13"/>
        <n v="99.97"/>
        <n v="6.46"/>
        <n v="99.965"/>
        <n v="17.19"/>
        <n v="18.01"/>
        <n v="6.51"/>
        <n v="17.92"/>
        <n v="18.88"/>
        <n v="10.81"/>
        <n v="11.29"/>
        <n v="0.986"/>
        <n v="0.793"/>
        <n v="0.753"/>
        <n v="4.006"/>
        <n v="0.796"/>
        <n v="0.787"/>
        <n v="3.899"/>
        <n v="3.815"/>
        <n v="0.8"/>
        <n v="0.747"/>
        <n v="3.511"/>
        <n v="3.62"/>
        <n v="0.801"/>
        <n v="4.08"/>
        <n v="4.116"/>
        <n v="0.874"/>
        <n v="0.875"/>
        <n v="8.49"/>
        <n v="8.7"/>
        <n v="8.6"/>
        <n v="8.31"/>
        <n v="8.36"/>
        <n v="8.34"/>
        <n v="8.234"/>
        <n v="0.816"/>
        <n v="0.861"/>
        <n v="0.851"/>
        <n v="8.65"/>
        <n v="8.86"/>
        <n v="8.44"/>
        <n v="0.822"/>
        <n v="7.77"/>
        <n v="7.287"/>
        <n v="7.46"/>
        <n v="0.844"/>
        <n v="0.878"/>
        <n v="0.86"/>
        <n v="0.894"/>
        <n v="0.884"/>
        <n v="3.94"/>
        <n v="0.9"/>
        <n v="3.807"/>
        <n v="1.215"/>
        <n v="1.046"/>
        <n v="0.944"/>
        <n v="1.194"/>
        <n v="0.916"/>
        <n v="3.925"/>
        <n v="3.985"/>
        <n v="7.9"/>
        <n v="3.92"/>
        <n v="3.918"/>
        <n v="3.962"/>
        <n v="1.146"/>
        <n v="3.862"/>
        <n v="3.895"/>
        <n v="3.888"/>
        <n v="7.75"/>
        <n v="3.864"/>
        <n v="13"/>
        <n v="3.912"/>
        <n v="12.85"/>
        <n v="3.939"/>
        <n v="12.9"/>
        <n v="12.95"/>
        <n v="3.932"/>
        <n v="13.49"/>
        <n v="3.988"/>
        <n v="4.007"/>
        <n v="20"/>
        <n v="13.84"/>
        <n v="20.732"/>
        <n v="20.67"/>
        <n v="20.85"/>
        <n v="21.195"/>
        <n v="21.23"/>
        <n v="20.96"/>
        <n v="8.53"/>
        <n v="26.18"/>
        <n v="3.71"/>
        <n v="0.918"/>
        <n v="0.936"/>
        <n v="0.901"/>
        <n v="1.044"/>
        <n v="6.84"/>
        <n v="16.22"/>
        <n v="3.442"/>
        <n v="16.2"/>
        <n v="6.68"/>
        <n v="6.92"/>
        <n v="7.18"/>
        <n v="7.1"/>
        <n v="3.315"/>
        <n v="3.225"/>
        <n v="3.34"/>
        <n v="3.441"/>
        <n v="30"/>
        <n v="24.08"/>
        <n v="25.04"/>
        <n v="0.499"/>
        <n v="0.453"/>
        <n v="2.923"/>
        <n v="3.063"/>
        <n v="2.933"/>
        <n v="3.042"/>
        <n v="3.066"/>
        <n v="7.31"/>
        <n v="7.26"/>
        <n v="7.13"/>
        <n v="3.076"/>
        <n v="7.14"/>
        <n v="7.25"/>
        <n v="6.8"/>
        <n v="6.77"/>
        <n v="6.79"/>
        <n v="6.82"/>
        <n v="6.85"/>
        <n v="99.989"/>
        <n v="3.114"/>
        <n v="3.157"/>
        <n v="0.56"/>
        <n v="6.38"/>
        <n v="3.075"/>
        <n v="3.135"/>
        <n v="7.17"/>
        <n v="6.69"/>
        <n v="6.61"/>
        <n v="3.138"/>
        <n v="3.125"/>
        <n v="8.05"/>
        <n v="3.55"/>
        <n v="3.1"/>
        <n v="6.57"/>
        <n v="3.51"/>
        <n v="6.53"/>
        <n v="99.978"/>
        <n v="8.09"/>
        <n v="99.966"/>
        <n v="30.09"/>
        <n v="3.56"/>
        <n v="8.72"/>
        <n v="3.171"/>
        <n v="8.79"/>
        <n v="6.73"/>
        <n v="3.65"/>
        <n v="99.987"/>
        <n v="7.85"/>
        <n v="29.8"/>
        <n v="3.63"/>
        <n v="8.13"/>
        <n v="8.95"/>
        <n v="13.88"/>
        <n v="8.01"/>
        <n v="13.98"/>
        <n v="8.83"/>
        <n v="14.05"/>
        <n v="8.91"/>
        <n v="8.82"/>
        <n v="3.9"/>
        <n v="14.09"/>
        <n v="14.18"/>
        <n v="8.93"/>
        <n v="14.37"/>
        <n v="8.81"/>
        <n v="9.17"/>
        <n v="14.07"/>
        <n v="3.91"/>
        <n v="6.66"/>
        <n v="13.93"/>
        <n v="13.75"/>
        <n v="13.17"/>
        <n v="7.08"/>
        <n v="12.7"/>
        <n v="12.46"/>
        <n v="3.263"/>
        <n v="4.23"/>
        <n v="3.243"/>
        <n v="3.221"/>
        <n v="7.64"/>
        <n v="3.237"/>
        <n v="7.81"/>
        <n v="4.05"/>
        <n v="99.988"/>
        <n v="7.4"/>
        <n v="14.13"/>
        <n v="7.28"/>
        <n v="7.15"/>
        <n v="99.997"/>
        <n v="7.04"/>
        <n v="12.34"/>
        <n v="6.91"/>
        <n v="12.51"/>
        <n v="9.57"/>
        <n v="12.65"/>
        <n v="9.42"/>
        <n v="3.04"/>
        <n v="6.88"/>
        <n v="3.09"/>
        <n v="3.327"/>
        <n v="3.338"/>
        <n v="3.01"/>
        <n v="6.58"/>
        <n v="6.72"/>
        <n v="6.67"/>
        <n v="3.438"/>
        <n v="3.11"/>
        <n v="99.974"/>
        <n v="6.55"/>
        <n v="3.399"/>
        <n v="6.47"/>
        <n v="1.287"/>
        <n v="1.245"/>
        <n v="3.45"/>
        <n v="6.56"/>
        <n v="1.382"/>
        <n v="1.354"/>
        <n v="99.98"/>
        <n v="1.261"/>
        <n v="1.249"/>
        <n v="18.93"/>
        <n v="10.38"/>
        <n v="12.66"/>
        <n v="1.258"/>
        <n v="1.305"/>
        <n v="12.68"/>
        <n v="19.24"/>
        <n v="1.205"/>
        <n v="1.165"/>
        <n v="1.328"/>
        <n v="1.312"/>
        <n v="1.262"/>
        <n v="6.95"/>
        <n v="99.939"/>
        <n v="99.999"/>
        <n v="9.3"/>
        <n v="99.888"/>
        <n v="6.6"/>
        <n v="99.957"/>
        <n v="13.265"/>
        <n v="13.625"/>
        <n v="15"/>
        <n v="1.072"/>
        <n v="1.112"/>
        <n v="8.63"/>
        <n v="8.24"/>
        <n v="1.014"/>
        <n v="14.88"/>
        <n v="1.101"/>
        <n v="10.84"/>
        <n v="10.8"/>
        <n v="21.34"/>
        <n v="8.38"/>
        <n v="0.7"/>
        <n v="0.77"/>
        <n v="0.763"/>
        <n v="0.761"/>
        <n v="1.142"/>
        <n v="1.14"/>
        <n v="0.699"/>
        <n v="1.12"/>
        <n v="0.933"/>
        <n v="0.906"/>
        <n v="7.39"/>
        <n v="0.785"/>
        <n v="0.827"/>
        <n v="0.823"/>
        <n v="0.794"/>
        <n v="0.819"/>
        <n v="7.16"/>
        <n v="0.72"/>
        <n v="0.511"/>
        <n v="0.752"/>
        <n v="0.748"/>
        <n v="0.486"/>
        <n v="0.745"/>
        <n v="0.783"/>
        <n v="1.208"/>
        <n v="1.212"/>
        <n v="0.804"/>
        <n v="0.778"/>
        <n v="0.782"/>
        <n v="8.12"/>
        <n v="8.17"/>
        <n v="0.776"/>
        <n v="0.767"/>
        <n v="3.79"/>
        <n v="3.85"/>
        <n v="0.751"/>
        <n v="0.579"/>
        <n v="23.4"/>
        <n v="4.11"/>
        <n v="23.48"/>
        <n v="0.571"/>
        <n v="0.84"/>
        <n v="0.575"/>
        <n v="23.88"/>
        <n v="24.5"/>
        <n v="0.586"/>
        <n v="0.589"/>
        <n v="5.68"/>
        <n v="25.02"/>
        <n v="14.78"/>
        <n v="0.848"/>
        <n v="0.587"/>
        <n v="5.98"/>
        <n v="24.75"/>
        <n v="0.583"/>
        <n v="0.569"/>
        <n v="0.577"/>
        <n v="14.41"/>
        <n v="0.592"/>
        <n v="0.61"/>
        <n v="0.627"/>
        <n v="0.624"/>
        <n v="0.626"/>
        <n v="0.871"/>
        <n v="0.635"/>
        <n v="0.865"/>
        <n v="0.631"/>
        <n v="0.628"/>
        <n v="0.622"/>
        <n v="0.618"/>
        <n v="0.843"/>
        <n v="0.656"/>
        <n v="0.659"/>
        <n v="3.97"/>
        <n v="0.662"/>
        <n v="0.682"/>
        <n v="0.879"/>
        <n v="0.673"/>
        <n v="0.681"/>
        <n v="7.76"/>
        <n v="0.883"/>
        <n v="0.89"/>
        <n v="0.67"/>
        <n v="0.678"/>
        <n v="0.658"/>
        <n v="0.632"/>
        <n v="100"/>
        <n v="9.6"/>
        <n v="9"/>
        <n v="0.943"/>
        <n v="0.937"/>
        <n v="0.684"/>
        <n v="3.83"/>
        <n v="0.885"/>
        <n v="119.366"/>
        <n v="0.66"/>
        <n v="0.663"/>
        <n v="0.666"/>
        <n v="7.8"/>
        <n v="19.11"/>
        <n v="0.679"/>
        <n v="0.891"/>
        <n v="0.677"/>
        <n v="19.36"/>
        <n v="0.674"/>
        <n v="19.4"/>
        <n v="0.873"/>
        <n v="0.667"/>
        <n v="19.18"/>
        <n v="18.34"/>
        <n v="0.647"/>
        <n v="0.637"/>
        <n v="0.838"/>
        <n v="0.643"/>
        <n v="0.63"/>
        <n v="8.42"/>
        <n v="18.68"/>
        <n v="18.3"/>
        <n v="18.75"/>
        <n v="18.03"/>
        <n v="7.52"/>
        <n v="0.515"/>
        <n v="101.01"/>
        <n v="0.588"/>
        <n v="0.604"/>
        <n v="0.599"/>
        <n v="0.596"/>
        <n v="0.595"/>
        <n v="2.17"/>
        <n v="0.605"/>
        <n v="0.465"/>
        <n v="0.388"/>
        <n v="18.09"/>
        <n v="4.35"/>
        <n v="17.09"/>
        <n v="0.769"/>
        <n v="13.383"/>
        <n v="17.15"/>
        <n v="16.98"/>
        <n v="22.5"/>
        <n v="0.797"/>
        <n v="0.779"/>
        <n v="16.89"/>
        <n v="17.01"/>
        <n v="111.95"/>
        <n v="15.34"/>
        <n v="15.36"/>
        <n v="15.5"/>
        <n v="15.73"/>
        <n v="0.724"/>
        <n v="0.498"/>
        <n v="15.89"/>
        <n v="0.728"/>
        <n v="15.97"/>
        <n v="0.725"/>
        <n v="0.731"/>
        <n v="16.138"/>
        <n v="7.32"/>
        <n v="16.25"/>
        <n v="16.43"/>
        <n v="0.654"/>
        <n v="7.24"/>
        <n v="16.34"/>
        <n v="0.749"/>
        <n v="16.24"/>
        <n v="16.1"/>
        <n v="0.734"/>
        <n v="4.18"/>
        <n v="16.21"/>
        <n v="0.736"/>
        <n v="22.6"/>
        <n v="80.35"/>
        <n v="4.02"/>
        <n v="16.12"/>
        <n v="21.95"/>
        <n v="0.606"/>
        <n v="0.584"/>
        <n v="15.42"/>
        <n v="0.549"/>
        <n v="0.503"/>
        <n v="0.441"/>
        <n v="13.48"/>
        <n v="0.617"/>
        <n v="0.451"/>
        <n v="0.504"/>
        <n v="13.46"/>
        <n v="0.458"/>
        <n v="13.42"/>
        <n v="13.14"/>
        <n v="0.612"/>
        <n v="12.94"/>
        <n v="0.461"/>
        <n v="6.64"/>
        <n v="0.432"/>
        <n v="36.12"/>
        <n v="0.473"/>
        <n v="0.464"/>
        <n v="13.25"/>
        <n v="5.86"/>
        <n v="5.94"/>
        <n v="0.508"/>
        <n v="13.71"/>
        <n v="6.83"/>
        <n v="13.64"/>
        <n v="13.54"/>
        <n v="0.545"/>
        <n v="5.87"/>
        <n v="0.529"/>
        <n v="0.557"/>
        <n v="0.538"/>
        <n v="5.82"/>
        <n v="0.563"/>
        <n v="0.576"/>
        <n v="14.5"/>
        <n v="14.82"/>
        <n v="5.91"/>
        <n v="0.57"/>
        <n v="0.52"/>
        <n v="0.527"/>
        <n v="0.554"/>
        <n v="15.21"/>
        <n v="0.547"/>
        <n v="15.09"/>
        <n v="0.539"/>
        <n v="0.55"/>
        <n v="0.562"/>
        <n v="0.6"/>
        <n v="6.96"/>
        <n v="5.72"/>
        <n v="0.556"/>
        <n v="0.607"/>
        <n v="15.35"/>
        <n v="0.544"/>
        <n v="0.625"/>
        <n v="15.13"/>
        <n v="15.615"/>
        <n v="15.52"/>
        <n v="0.71"/>
        <n v="0.726"/>
        <n v="0.78"/>
        <n v="6.5"/>
        <n v="99.937"/>
        <n v="6.3"/>
        <n v="15.6"/>
        <n v="0.487"/>
        <n v="0.518"/>
        <n v="6.02"/>
        <n v="16.15"/>
        <n v="0.497"/>
        <n v="4.28"/>
        <n v="5.06"/>
        <n v="6.12"/>
        <n v="3.96"/>
        <n v="9.51"/>
        <n v="5.67"/>
        <n v="5.02"/>
        <n v="6.29"/>
        <n v="3.58"/>
        <n v="3.31"/>
        <n v="2.95"/>
        <n v="95.24"/>
        <n v="0.485"/>
        <n v="0.438"/>
        <n v="0.446"/>
        <n v="0.475"/>
        <n v="1.059"/>
        <n v="1.831"/>
        <n v="1.364"/>
        <n v="1.391"/>
        <n v="1.18"/>
        <n v="0.15"/>
        <n v="3.07"/>
        <n v="1.472"/>
        <n v="1.062"/>
        <n v="3.14"/>
        <n v="3.12"/>
        <n v="7.44"/>
        <n v="3.06"/>
        <n v="2.79"/>
        <n v="2.64"/>
        <n v="8.99"/>
        <n v="0.06"/>
        <n v="2.9"/>
        <n v="16.11"/>
        <n v="4.42"/>
        <n v="17.53"/>
        <n v="4.89"/>
        <n v="20.21"/>
        <n v="13.72"/>
        <n v="14.2"/>
        <n v="12.76"/>
        <n v="14.12"/>
        <n v="0.1"/>
        <n v="5.099"/>
        <n v="5.156"/>
        <n v="5.182"/>
        <n v="5.13"/>
        <n v="5.115"/>
        <n v="4.39"/>
        <n v="4.06"/>
        <n v="3.98"/>
        <n v="4.01"/>
        <n v="4.1"/>
        <n v="4.16"/>
        <n v="4.84"/>
        <n v="15.94"/>
        <n v="5.16"/>
        <n v="0.839"/>
        <n v="0.852"/>
        <n v="0.826"/>
        <n v="0.13"/>
        <n v="0.825"/>
        <n v="0.837"/>
        <n v="0.85"/>
        <n v="0.869"/>
        <n v="15.33"/>
        <n v="0.864"/>
        <n v="4.15"/>
        <n v="4.75"/>
        <n v="4.09"/>
        <n v="4.07"/>
        <n v="4.04"/>
        <n v="4.14"/>
        <n v="0.882"/>
        <n v="9.68"/>
        <n v="3.57"/>
        <n v="6.2"/>
        <n v="60.06"/>
        <n v="15.59"/>
        <n v="0.25"/>
        <n v="91.02"/>
        <n v="5.2"/>
        <m/>
      </sharedItems>
    </cacheField>
    <cacheField name="成交数量" numFmtId="0">
      <sharedItems containsString="0" containsBlank="1" containsNumber="1" containsInteger="1" minValue="0" maxValue="222000" count="272">
        <n v="0"/>
        <n v="300"/>
        <n v="400"/>
        <n v="500"/>
        <n v="600"/>
        <n v="700"/>
        <n v="10"/>
        <n v="20"/>
        <n v="800"/>
        <n v="1300"/>
        <n v="90"/>
        <n v="100"/>
        <n v="50"/>
        <n v="1000"/>
        <n v="40"/>
        <n v="60"/>
        <n v="200"/>
        <n v="1500"/>
        <n v="1100"/>
        <n v="2500"/>
        <n v="80"/>
        <n v="120"/>
        <n v="1900"/>
        <n v="900"/>
        <n v="1600"/>
        <n v="1700"/>
        <n v="2000"/>
        <n v="30"/>
        <n v="9600"/>
        <n v="3500"/>
        <n v="5000"/>
        <n v="10000"/>
        <n v="7500"/>
        <n v="1800"/>
        <n v="2700"/>
        <n v="3100"/>
        <n v="1400"/>
        <n v="23100"/>
        <n v="708"/>
        <n v="354"/>
        <n v="23454"/>
        <n v="14200"/>
        <n v="59700"/>
        <n v="50000"/>
        <n v="9700"/>
        <n v="45161"/>
        <n v="45160"/>
        <n v="22580"/>
        <n v="25600"/>
        <n v="40000"/>
        <n v="1120"/>
        <n v="1"/>
        <n v="71634"/>
        <n v="1121"/>
        <n v="1737"/>
        <n v="1482"/>
        <n v="52400"/>
        <n v="2400"/>
        <n v="39900"/>
        <n v="7000"/>
        <n v="60000"/>
        <n v="32400"/>
        <n v="4000"/>
        <n v="4400"/>
        <n v="30000"/>
        <n v="3000"/>
        <n v="6000"/>
        <n v="20000"/>
        <n v="112900"/>
        <n v="44557"/>
        <n v="110560"/>
        <n v="152900"/>
        <n v="3219"/>
        <n v="3285"/>
        <n v="9871"/>
        <n v="2082"/>
        <n v="2800"/>
        <n v="9000"/>
        <n v="4500"/>
        <n v="6750"/>
        <n v="2900"/>
        <n v="13000"/>
        <n v="37400"/>
        <n v="31200"/>
        <n v="8600"/>
        <n v="12615"/>
        <n v="38312"/>
        <n v="1200"/>
        <n v="17208"/>
        <n v="8700"/>
        <n v="12322"/>
        <n v="14765"/>
        <n v="4710"/>
        <n v="29939"/>
        <n v="9305"/>
        <n v="17155"/>
        <n v="24938"/>
        <n v="59932"/>
        <n v="2121"/>
        <n v="16423"/>
        <n v="9997"/>
        <n v="28996"/>
        <n v="10726"/>
        <n v="17585"/>
        <n v="24393"/>
        <n v="60896"/>
        <n v="860"/>
        <n v="86679"/>
        <n v="970"/>
        <n v="111"/>
        <n v="24727"/>
        <n v="100001"/>
        <n v="24819"/>
        <n v="7005"/>
        <n v="19120"/>
        <n v="11405"/>
        <n v="19999"/>
        <n v="58894"/>
        <n v="16883"/>
        <n v="21040"/>
        <n v="22400"/>
        <n v="20421"/>
        <n v="6100"/>
        <n v="15773"/>
        <n v="22140"/>
        <n v="11250"/>
        <n v="5785"/>
        <n v="15665"/>
        <n v="11852"/>
        <n v="9800"/>
        <n v="15565"/>
        <n v="9995"/>
        <n v="8196"/>
        <n v="11107"/>
        <n v="6050"/>
        <n v="12205"/>
        <n v="8815"/>
        <n v="29780"/>
        <n v="11375"/>
        <n v="31804"/>
        <n v="13330"/>
        <n v="17685"/>
        <n v="18654"/>
        <n v="13165"/>
        <n v="999"/>
        <n v="43292"/>
        <n v="430"/>
        <n v="43404"/>
        <n v="18866"/>
        <n v="3250"/>
        <n v="17705"/>
        <n v="12012"/>
        <n v="18500"/>
        <n v="21"/>
        <n v="16266"/>
        <n v="3850"/>
        <n v="31631"/>
        <n v="12745"/>
        <n v="18035"/>
        <n v="22176"/>
        <n v="10305"/>
        <n v="70"/>
        <n v="15076"/>
        <n v="55"/>
        <n v="16992"/>
        <n v="75137"/>
        <n v="440"/>
        <n v="31889"/>
        <n v="15345"/>
        <n v="15330"/>
        <n v="24020"/>
        <n v="39533"/>
        <n v="11500"/>
        <n v="10984"/>
        <n v="10065"/>
        <n v="24880"/>
        <n v="35648"/>
        <n v="8645"/>
        <n v="15705"/>
        <n v="1601"/>
        <n v="6299"/>
        <n v="20179"/>
        <n v="16200"/>
        <n v="26200"/>
        <n v="11555"/>
        <n v="28"/>
        <n v="1706"/>
        <n v="100000"/>
        <n v="7105"/>
        <n v="7265"/>
        <n v="9755"/>
        <n v="30478"/>
        <n v="9456"/>
        <n v="17550"/>
        <n v="3612"/>
        <n v="2300"/>
        <n v="5155"/>
        <n v="3023"/>
        <n v="13600"/>
        <n v="11729"/>
        <n v="6404"/>
        <n v="29000"/>
        <n v="788"/>
        <n v="10354"/>
        <n v="5"/>
        <n v="2999"/>
        <n v="5063"/>
        <n v="2503"/>
        <n v="28359"/>
        <n v="222000"/>
        <n v="6200"/>
        <n v="3700"/>
        <n v="8000"/>
        <n v="2662"/>
        <n v="6700"/>
        <n v="12700"/>
        <n v="5700"/>
        <n v="6063"/>
        <n v="4271"/>
        <n v="5461"/>
        <n v="26000"/>
        <n v="18283"/>
        <n v="19026"/>
        <n v="2820"/>
        <n v="636"/>
        <n v="3246"/>
        <n v="4877"/>
        <n v="12674"/>
        <n v="12653"/>
        <n v="704"/>
        <n v="54000"/>
        <n v="4"/>
        <n v="7569"/>
        <n v="8309"/>
        <n v="8250"/>
        <n v="16469"/>
        <n v="13725"/>
        <n v="12628"/>
        <n v="59156"/>
        <n v="11600"/>
        <n v="10265"/>
        <n v="13175"/>
        <n v="11999"/>
        <n v="18105"/>
        <n v="11728"/>
        <n v="7905"/>
        <n v="11778"/>
        <n v="11945"/>
        <n v="23493"/>
        <n v="4847"/>
        <n v="14145"/>
        <n v="25050"/>
        <n v="8265"/>
        <n v="8145"/>
        <n v="4942"/>
        <n v="16390"/>
        <n v="29617"/>
        <n v="8655"/>
        <n v="11276"/>
        <n v="24205"/>
        <n v="12625"/>
        <n v="11825"/>
        <n v="8555"/>
        <n v="8415"/>
        <n v="23614"/>
        <n v="14000"/>
        <n v="2892"/>
        <n v="1785"/>
        <n v="4019"/>
        <n v="1858"/>
        <n v="9100"/>
        <m/>
      </sharedItems>
    </cacheField>
    <cacheField name="成交金额" numFmtId="0">
      <sharedItems containsString="0" containsBlank="1" containsNumber="1" minValue="-12774.06" maxValue="250332.05" count="956">
        <n v="0"/>
        <n v="4914"/>
        <n v="5154"/>
        <n v="3186"/>
        <n v="3087"/>
        <n v="4752"/>
        <n v="4940"/>
        <n v="4804"/>
        <n v="4250"/>
        <n v="4555"/>
        <n v="4536"/>
        <n v="4724"/>
        <n v="5112"/>
        <n v="4488"/>
        <n v="4314"/>
        <n v="4422"/>
        <n v="4354"/>
        <n v="22.05"/>
        <n v="5250"/>
        <n v="3270"/>
        <n v="1000"/>
        <n v="1000.69"/>
        <n v="1000.71"/>
        <n v="2000"/>
        <n v="8958"/>
        <n v="8730"/>
        <n v="6482"/>
        <n v="5490"/>
        <n v="2003.17"/>
        <n v="2001.73"/>
        <n v="1001.61"/>
        <n v="5296"/>
        <n v="4700"/>
        <n v="9100"/>
        <n v="9000"/>
        <n v="9008.3"/>
        <n v="10000"/>
        <n v="5000"/>
        <n v="10250"/>
        <n v="3015"/>
        <n v="988"/>
        <n v="10017.68"/>
        <n v="10019.22"/>
        <n v="10020.33"/>
        <n v="4000"/>
        <n v="6000"/>
        <n v="5004.57"/>
        <n v="4668"/>
        <n v="5005.85"/>
        <n v="6007.94"/>
        <n v="3912"/>
        <n v="6276"/>
        <n v="5016.7"/>
        <n v="10017.45"/>
        <n v="4007.82"/>
        <n v="4335"/>
        <n v="4080"/>
        <n v="3610"/>
        <n v="7300"/>
        <n v="3755"/>
        <n v="2244"/>
        <n v="1540"/>
        <n v="3825"/>
        <n v="4572"/>
        <n v="3670"/>
        <n v="3725"/>
        <n v="4542"/>
        <n v="4458"/>
        <n v="4638"/>
        <n v="4578"/>
        <n v="7830"/>
        <n v="3164"/>
        <n v="4588"/>
        <n v="4623"/>
        <n v="4626"/>
        <n v="7525"/>
        <n v="7640"/>
        <n v="7715"/>
        <n v="7770"/>
        <n v="7835"/>
        <n v="7825"/>
        <n v="7590"/>
        <n v="4056"/>
        <n v="7530"/>
        <n v="7450"/>
        <n v="7515"/>
        <n v="5888"/>
        <n v="5115"/>
        <n v="3535"/>
        <n v="3525"/>
        <n v="6886"/>
        <n v="5874"/>
        <n v="6035"/>
        <n v="617.5"/>
        <n v="10107.44"/>
        <n v="5138"/>
        <n v="66.5"/>
        <n v="8084.8"/>
        <n v="38"/>
        <n v="372.93"/>
        <n v="8195.37"/>
        <n v="6145"/>
        <n v="2040.51"/>
        <n v="5033"/>
        <n v="12380"/>
        <n v="6070"/>
        <n v="5160"/>
        <n v="12183.45"/>
        <n v="34181"/>
        <n v="5391"/>
        <n v="5463"/>
        <n v="23541"/>
        <n v="28624"/>
        <n v="1239"/>
        <n v="14600"/>
        <n v="13585"/>
        <n v="18170"/>
        <n v="18180"/>
        <n v="20859"/>
        <n v="18160"/>
        <n v="11780"/>
        <n v="588"/>
        <n v="19993.4"/>
        <n v="3057.01"/>
        <n v="20002.4"/>
        <n v="6220"/>
        <n v="5155"/>
        <n v="8676"/>
        <n v="9192"/>
        <n v="6335"/>
        <n v="5430"/>
        <n v="6395"/>
        <n v="2.15"/>
        <n v="6375"/>
        <n v="8592"/>
        <n v="3085.41"/>
        <n v="3104.5"/>
        <n v="39997.2"/>
        <n v="40004.19"/>
        <n v="2715"/>
        <n v="7565"/>
        <n v="8160"/>
        <n v="7675"/>
        <n v="6465"/>
        <n v="15270"/>
        <n v="9030"/>
        <n v="3945"/>
        <n v="3875"/>
        <n v="13060"/>
        <n v="3940"/>
        <n v="19200"/>
        <n v="19305"/>
        <n v="3932.5"/>
        <n v="3927.5"/>
        <n v="3915"/>
        <n v="10760"/>
        <n v="9998.4"/>
        <n v="11550"/>
        <n v="10001"/>
        <n v="9996.4"/>
        <n v="9995.2"/>
        <n v="20002.09"/>
        <n v="19993.7"/>
        <n v="20002.8"/>
        <n v="5230"/>
        <n v="8.3"/>
        <n v="3450"/>
        <n v="3430"/>
        <n v="3355"/>
        <n v="19008"/>
        <n v="785.6"/>
        <n v="5295"/>
        <n v="5121.9"/>
        <n v="6107"/>
        <n v="10290"/>
        <n v="4852.5"/>
        <n v="4580"/>
        <n v="4632.5"/>
        <n v="13940"/>
        <n v="4570"/>
        <n v="4582.5"/>
        <n v="4600"/>
        <n v="20384"/>
        <n v="4675"/>
        <n v="4677.5"/>
        <n v="4790"/>
        <n v="4902.5"/>
        <n v="9994.7"/>
        <n v="10001.04"/>
        <n v="436.48"/>
        <n v="20639.52"/>
        <n v="19930"/>
        <n v="19944"/>
        <n v="29951.7"/>
        <n v="40003.79"/>
        <n v="40004.4"/>
        <n v="19996.2"/>
        <n v="8195"/>
        <n v="11857"/>
        <n v="50001.5"/>
        <n v="49909.2"/>
        <n v="7885"/>
        <n v="42750"/>
        <n v="8293.5"/>
        <n v="11999"/>
        <n v="60.33"/>
        <n v="49406.13"/>
        <n v="20940.8"/>
        <n v="33508.72"/>
        <n v="31520"/>
        <n v="19959.8"/>
        <n v="20007.63"/>
        <n v="33160"/>
        <n v="10130"/>
        <n v="19998.6"/>
        <n v="20017.83"/>
        <n v="19994"/>
        <n v="20002.16"/>
        <n v="3230"/>
        <n v="19993"/>
        <n v="20002.18"/>
        <n v="8595"/>
        <n v="9005"/>
        <n v="3255"/>
        <n v="8960"/>
        <n v="9440"/>
        <n v="10810"/>
        <n v="4516"/>
        <n v="1461.25"/>
        <n v="41553.2"/>
        <n v="228"/>
        <n v="30044.7"/>
        <n v="20030"/>
        <n v="31760.4"/>
        <n v="31401.3"/>
        <n v="7798"/>
        <n v="7630"/>
        <n v="33077.1"/>
        <n v="32000"/>
        <n v="7470"/>
        <n v="7022"/>
        <n v="7240"/>
        <n v="8010"/>
        <n v="28812"/>
        <n v="52440"/>
        <n v="28350"/>
        <n v="16980"/>
        <n v="17400"/>
        <n v="17200"/>
        <n v="16620"/>
        <n v="33440"/>
        <n v="33960"/>
        <n v="16680"/>
        <n v="36229.5"/>
        <n v="24480"/>
        <n v="25830"/>
        <n v="25530"/>
        <n v="34600"/>
        <n v="17720"/>
        <n v="16880"/>
        <n v="24660"/>
        <n v="51008"/>
        <n v="52220"/>
        <n v="50640"/>
        <n v="52680"/>
        <n v="25800"/>
        <n v="26820"/>
        <n v="26520"/>
        <n v="7880"/>
        <n v="27000"/>
        <n v="7614"/>
        <n v="36450.01"/>
        <n v="27480"/>
        <n v="7850"/>
        <n v="7970"/>
        <n v="7900"/>
        <n v="1960"/>
        <n v="5877"/>
        <n v="7924"/>
        <n v="68772"/>
        <n v="7724"/>
        <n v="7730"/>
        <n v="7790"/>
        <n v="15552"/>
        <n v="15500"/>
        <n v="15456"/>
        <n v="13000"/>
        <n v="15648"/>
        <n v="12850"/>
        <n v="15756"/>
        <n v="12900"/>
        <n v="25900"/>
        <n v="15728"/>
        <n v="26980"/>
        <n v="7976"/>
        <n v="8014"/>
        <n v="60000"/>
        <n v="13840"/>
        <n v="62195"/>
        <n v="124020"/>
        <n v="62550"/>
        <n v="21195"/>
        <n v="21230"/>
        <n v="20960"/>
        <n v="42650"/>
        <n v="42450"/>
        <n v="13090"/>
        <n v="7420"/>
        <n v="18320"/>
        <n v="18360"/>
        <n v="105674.4"/>
        <n v="40145.86"/>
        <n v="115424.64"/>
        <n v="34200"/>
        <n v="8110"/>
        <n v="68840"/>
        <n v="8100"/>
        <n v="13360"/>
        <n v="6920"/>
        <n v="7180"/>
        <n v="7100"/>
        <n v="66300"/>
        <n v="8062.5"/>
        <n v="6680"/>
        <n v="1720.5"/>
        <n v="15000"/>
        <n v="12040"/>
        <n v="12520"/>
        <n v="4925.63"/>
        <n v="9998.1"/>
        <n v="10000.7"/>
        <n v="4530"/>
        <n v="102"/>
        <n v="5846"/>
        <n v="8835"/>
        <n v="6126"/>
        <n v="5866"/>
        <n v="11385"/>
        <n v="6084"/>
        <n v="6132"/>
        <n v="10965"/>
        <n v="10890"/>
        <n v="10695"/>
        <n v="6152"/>
        <n v="10710"/>
        <n v="7250"/>
        <n v="6800"/>
        <n v="6770"/>
        <n v="6790"/>
        <n v="6820"/>
        <n v="17125"/>
        <n v="18125"/>
        <n v="19997.8"/>
        <n v="6228"/>
        <n v="6314"/>
        <n v="5527.76"/>
        <n v="11484"/>
        <n v="12760"/>
        <n v="10.25"/>
        <n v="7687.5"/>
        <n v="7837.5"/>
        <n v="7170"/>
        <n v="13380"/>
        <n v="13220"/>
        <n v="6250"/>
        <n v="14490"/>
        <n v="99984"/>
        <n v="100006.13"/>
        <n v="10650"/>
        <n v="13240"/>
        <n v="6200"/>
        <n v="13140"/>
        <n v="10530"/>
        <n v="14004"/>
        <n v="32650"/>
        <n v="39991.2"/>
        <n v="40002.46"/>
        <n v="14562"/>
        <n v="39986.4"/>
        <n v="6018"/>
        <n v="15300"/>
        <n v="10680"/>
        <n v="8720"/>
        <n v="40002.52"/>
        <n v="6342"/>
        <n v="8790"/>
        <n v="2799.3"/>
        <n v="18844"/>
        <n v="10950"/>
        <n v="39994.8"/>
        <n v="3925"/>
        <n v="40002.57"/>
        <n v="5960"/>
        <n v="16260"/>
        <n v="17900"/>
        <n v="27760"/>
        <n v="16020"/>
        <n v="27960"/>
        <n v="17660"/>
        <n v="28100"/>
        <n v="10860"/>
        <n v="17820"/>
        <n v="17640"/>
        <n v="11700"/>
        <n v="28180"/>
        <n v="14180"/>
        <n v="17860"/>
        <n v="14370"/>
        <n v="17620"/>
        <n v="18340"/>
        <n v="14070"/>
        <n v="35190"/>
        <n v="13320"/>
        <n v="13930"/>
        <n v="13750"/>
        <n v="13170"/>
        <n v="28320"/>
        <n v="12700"/>
        <n v="37380"/>
        <n v="6526"/>
        <n v="12690"/>
        <n v="6486"/>
        <n v="12600"/>
        <n v="6442"/>
        <n v="11130"/>
        <n v="3820"/>
        <n v="6474"/>
        <n v="11730"/>
        <n v="3905"/>
        <n v="39400"/>
        <n v="40500"/>
        <n v="39995.2"/>
        <n v="9998.8"/>
        <n v="14800"/>
        <n v="14960"/>
        <n v="7065"/>
        <n v="14560"/>
        <n v="71500"/>
        <n v="450"/>
        <n v="49998.5"/>
        <n v="21120"/>
        <n v="12340"/>
        <n v="44.19"/>
        <n v="13820"/>
        <n v="12510"/>
        <n v="14355"/>
        <n v="6325"/>
        <n v="14130"/>
        <n v="13540"/>
        <n v="8816"/>
        <n v="13760"/>
        <n v="8961"/>
        <n v="13720"/>
        <n v="8982.9"/>
        <n v="9012.6"/>
        <n v="26320"/>
        <n v="26880"/>
        <n v="26680"/>
        <n v="6876"/>
        <n v="9330"/>
        <n v="19994.8"/>
        <n v="20002.53"/>
        <n v="85540"/>
        <n v="13020"/>
        <n v="16375"/>
        <n v="13160"/>
        <n v="8497.5"/>
        <n v="16175"/>
        <n v="48133.8"/>
        <n v="38844"/>
        <n v="8625"/>
        <n v="16400"/>
        <n v="11885.2"/>
        <n v="81240"/>
        <n v="109978"/>
        <n v="33450"/>
        <n v="12610"/>
        <n v="110015.32"/>
        <n v="12490"/>
        <n v="9465"/>
        <n v="25400"/>
        <n v="12456"/>
        <n v="51000"/>
        <n v="16290"/>
        <n v="58203"/>
        <n v="12580"/>
        <n v="13050"/>
        <n v="25360"/>
        <n v="9620"/>
        <n v="59595"/>
        <n v="12050"/>
        <n v="11650"/>
        <n v="13280"/>
        <n v="13120"/>
        <n v="16900"/>
        <n v="25240"/>
        <n v="13032"/>
        <n v="17375"/>
        <n v="12070"/>
        <n v="29981.7"/>
        <n v="79957.6"/>
        <n v="110002.54"/>
        <n v="79999.2"/>
        <n v="9300"/>
        <n v="17150"/>
        <n v="80020.93"/>
        <n v="24930"/>
        <n v="59932.8"/>
        <n v="60015.14"/>
        <n v="63.22"/>
        <n v="16500"/>
        <n v="9997.4"/>
        <n v="9995.7"/>
        <n v="30000"/>
        <n v="10000.88"/>
        <n v="30021.81"/>
        <n v="10007.47"/>
        <n v="10008.22"/>
        <n v="10720"/>
        <n v="11120"/>
        <n v="16925"/>
        <n v="17580"/>
        <n v="25890"/>
        <n v="24720"/>
        <n v="18840"/>
        <n v="17100"/>
        <n v="10140"/>
        <n v="86000"/>
        <n v="86035.06"/>
        <n v="11010"/>
        <n v="97000"/>
        <n v="97043.05"/>
        <n v="21680"/>
        <n v="21600"/>
        <n v="21340"/>
        <n v="325.11"/>
        <n v="25140"/>
        <n v="7000"/>
        <n v="7700"/>
        <n v="7610"/>
        <n v="11420"/>
        <n v="11400"/>
        <n v="13980"/>
        <n v="22400"/>
        <n v="58170"/>
        <n v="20436.2"/>
        <n v="20899.2"/>
        <n v="20294.4"/>
        <n v="19818"/>
        <n v="20250"/>
        <n v="20142"/>
        <n v="19953"/>
        <n v="20468"/>
        <n v="400"/>
        <n v="15700"/>
        <n v="5044.7"/>
        <n v="16440"/>
        <n v="5020.3"/>
        <n v="109.59"/>
        <n v="15880"/>
        <n v="16380"/>
        <n v="21480"/>
        <n v="562.5"/>
        <n v="4440"/>
        <n v="21840"/>
        <n v="14400"/>
        <n v="10220"/>
        <n v="15040"/>
        <n v="9720"/>
        <n v="14900"/>
        <n v="15660"/>
        <n v="11838.4"/>
        <n v="11877.6"/>
        <n v="16080"/>
        <n v="15560"/>
        <n v="15640"/>
        <n v="24360"/>
        <n v="24510"/>
        <n v="15520"/>
        <n v="15340"/>
        <n v="18600"/>
        <n v="18950"/>
        <n v="19250"/>
        <n v="7510"/>
        <n v="5790"/>
        <n v="12330"/>
        <n v="11740"/>
        <n v="5710"/>
        <n v="8400"/>
        <n v="5750"/>
        <n v="11940"/>
        <n v="12250"/>
        <n v="5860"/>
        <n v="5890"/>
        <n v="11360"/>
        <n v="22170"/>
        <n v="8480"/>
        <n v="5870"/>
        <n v="11960"/>
        <n v="12375"/>
        <n v="5830"/>
        <n v="5690"/>
        <n v="5770"/>
        <n v="21615"/>
        <n v="8290"/>
        <n v="8350"/>
        <n v="11840"/>
        <n v="12200"/>
        <n v="12540"/>
        <n v="12480"/>
        <n v="8840"/>
        <n v="17420"/>
        <n v="17300.01"/>
        <n v="12620"/>
        <n v="12560"/>
        <n v="12440"/>
        <n v="33720"/>
        <n v="17020"/>
        <n v="11370"/>
        <n v="18350"/>
        <n v="13180"/>
        <n v="11910"/>
        <n v="13640"/>
        <n v="17740"/>
        <n v="13460"/>
        <n v="13620"/>
        <n v="19400"/>
        <n v="17680"/>
        <n v="35600"/>
        <n v="13400"/>
        <n v="101.43"/>
        <n v="13560"/>
        <n v="18750"/>
        <n v="12640"/>
        <n v="43000"/>
        <n v="43113.1"/>
        <n v="43010.6"/>
        <n v="18860"/>
        <n v="18740"/>
        <n v="13680"/>
        <n v="12447.5"/>
        <n v="17700"/>
        <n v="1193.66"/>
        <n v="13200"/>
        <n v="12265.5"/>
        <n v="12321"/>
        <n v="19500"/>
        <n v="19110"/>
        <n v="13580"/>
        <n v="19360"/>
        <n v="13480"/>
        <n v="17460"/>
        <n v="13340"/>
        <n v="19180"/>
        <n v="12940"/>
        <n v="12740"/>
        <n v="16580"/>
        <n v="16760"/>
        <n v="12860"/>
        <n v="12600.6"/>
        <n v="16460"/>
        <n v="21050"/>
        <n v="20900"/>
        <n v="18680"/>
        <n v="18300"/>
        <n v="18030"/>
        <n v="22560"/>
        <n v="10300"/>
        <n v="1010.1"/>
        <n v="11760"/>
        <n v="12080"/>
        <n v="11980"/>
        <n v="11920"/>
        <n v="11900"/>
        <n v="2170"/>
        <n v="12100"/>
        <n v="18090"/>
        <n v="163.24"/>
        <n v="4350"/>
        <n v="11720"/>
        <n v="17090"/>
        <n v="30760"/>
        <n v="44000"/>
        <n v="44064.53"/>
        <n v="31280"/>
        <n v="11250"/>
        <n v="31880"/>
        <n v="31160"/>
        <n v="16890"/>
        <n v="17010"/>
        <n v="1119.5"/>
        <n v="15360"/>
        <n v="31120"/>
        <n v="15730"/>
        <n v="14480"/>
        <n v="9960"/>
        <n v="15890"/>
        <n v="15970"/>
        <n v="14500"/>
        <n v="14620"/>
        <n v="16138"/>
        <n v="8052"/>
        <n v="16250"/>
        <n v="16430"/>
        <n v="13080"/>
        <n v="13756"/>
        <n v="16340"/>
        <n v="29960"/>
        <n v="48720"/>
        <n v="16100"/>
        <n v="14680"/>
        <n v="48070"/>
        <n v="16210"/>
        <n v="14720"/>
        <n v="11300"/>
        <n v="40175"/>
        <n v="46230"/>
        <n v="32240"/>
        <n v="10975"/>
        <n v="24240"/>
        <n v="23360"/>
        <n v="30840"/>
        <n v="10980"/>
        <n v="10060"/>
        <n v="10005"/>
        <n v="9290"/>
        <n v="9020"/>
        <n v="10080"/>
        <n v="9160"/>
        <n v="13420"/>
        <n v="12240"/>
        <n v="9220"/>
        <n v="8640"/>
        <n v="40000"/>
        <n v="36120"/>
        <n v="9460"/>
        <n v="9280"/>
        <n v="13250"/>
        <n v="11880"/>
        <n v="5080"/>
        <n v="13710"/>
        <n v="13660"/>
        <n v="27280"/>
        <n v="5450"/>
        <n v="10580"/>
        <n v="11130.2"/>
        <n v="11640"/>
        <n v="9120.6"/>
        <n v="11520"/>
        <n v="29000"/>
        <n v="14820"/>
        <n v="11820"/>
        <n v="14934"/>
        <n v="10400"/>
        <n v="10540"/>
        <n v="11080"/>
        <n v="11140"/>
        <n v="6120"/>
        <n v="15210"/>
        <n v="10940"/>
        <n v="7545"/>
        <n v="10780"/>
        <n v="11000"/>
        <n v="11240"/>
        <n v="12000"/>
        <n v="10440"/>
        <n v="11440"/>
        <n v="22240"/>
        <n v="24280"/>
        <n v="10880"/>
        <n v="12500"/>
        <n v="11500"/>
        <n v="15130"/>
        <n v="11540"/>
        <n v="15615"/>
        <n v="7760"/>
        <n v="400.97"/>
        <n v="10155"/>
        <n v="8060"/>
        <n v="100000"/>
        <n v="7260"/>
        <n v="7800"/>
        <n v="9750"/>
        <n v="189880.3"/>
        <n v="190019.64"/>
        <n v="9450"/>
        <n v="9740"/>
        <n v="10360"/>
        <n v="13846"/>
        <n v="8075"/>
        <n v="5150"/>
        <n v="2982"/>
        <n v="178.64"/>
        <n v="5136"/>
        <n v="290"/>
        <n v="6072"/>
        <n v="6432.8"/>
        <n v="6380"/>
        <n v="6020"/>
        <n v="4.99"/>
        <n v="3"/>
        <n v="0.6"/>
        <n v="1.36"/>
        <n v="1980"/>
        <n v="1.27"/>
        <n v="4755"/>
        <n v="5063"/>
        <n v="11.69"/>
        <n v="100"/>
        <n v="250269.96"/>
        <n v="5"/>
        <n v="1"/>
        <n v="250332.05"/>
        <n v="222000"/>
        <n v="34.37"/>
        <n v="31124"/>
        <n v="31450"/>
        <n v="21473.79"/>
        <n v="0.01"/>
        <n v="19835.03"/>
        <n v="0.02"/>
        <n v="0.03"/>
        <n v="18676.58"/>
        <n v="2.04"/>
        <n v="23627.12"/>
        <n v="0.06"/>
        <n v="0.08"/>
        <n v="0.11"/>
        <n v="0.14"/>
        <n v="0.2"/>
        <n v="1603"/>
        <n v="952.4"/>
        <n v="1697.5"/>
        <n v="2628"/>
        <n v="2988.2"/>
        <n v="6032.5"/>
        <n v="6036.3"/>
        <n v="0.05"/>
        <n v="18643.97"/>
        <n v="7820.2"/>
        <n v="5456"/>
        <n v="5564"/>
        <n v="6726"/>
        <n v="4.13"/>
        <n v="3952"/>
        <n v="18437.4"/>
        <n v="4778.11"/>
        <n v="5179.37"/>
        <n v="18817.32"/>
        <n v="18687.75"/>
        <n v="0.04"/>
        <n v="12648"/>
        <n v="425"/>
        <n v="18390.06"/>
        <n v="0.1"/>
        <n v="29.46"/>
        <n v="27855.53"/>
        <n v="0.31"/>
        <n v="26408.48"/>
        <n v="0.13"/>
        <n v="4495"/>
        <n v="0.17"/>
        <n v="3024"/>
        <n v="29032.89"/>
        <n v="25771.33"/>
        <n v="7876"/>
        <n v="8261"/>
        <n v="0.15"/>
        <n v="5025"/>
        <n v="13260"/>
        <n v="18.9"/>
        <n v="0.4"/>
        <n v="18625.23"/>
        <n v="0.18"/>
        <n v="7.17"/>
        <n v="0.36"/>
        <n v="14024.86"/>
        <n v="14670"/>
        <n v="16169.1"/>
        <n v="0.3"/>
        <n v="16464"/>
        <n v="17136"/>
        <n v="14200"/>
        <n v="136.58"/>
        <n v="14120"/>
        <n v="5616"/>
        <n v="-0.1"/>
        <n v="-0.15"/>
        <n v="59144.7"/>
        <n v="-0.05"/>
        <n v="10312"/>
        <n v="10364"/>
        <n v="10260"/>
        <n v="59334"/>
        <n v="-0.04"/>
        <n v="-0.13"/>
        <n v="66"/>
        <n v="12060"/>
        <n v="12180"/>
        <n v="19900"/>
        <n v="-0.12"/>
        <n v="12030"/>
        <n v="662.4"/>
        <n v="12300"/>
        <n v="85"/>
        <n v="8320"/>
        <n v="14520"/>
        <n v="-12774.06"/>
        <n v="13044.09"/>
        <n v="15480"/>
        <n v="16780"/>
        <n v="8520"/>
        <n v="8390"/>
        <n v="8260"/>
        <n v="8380"/>
        <n v="146.86"/>
        <n v="8510"/>
        <n v="-0.3"/>
        <n v="6912"/>
        <n v="8250"/>
        <n v="8370"/>
        <n v="8500"/>
        <n v="8690"/>
        <n v="8550"/>
        <n v="12262.75"/>
        <n v="8610"/>
        <n v="8750"/>
        <n v="12150"/>
        <n v="8830"/>
        <n v="24200"/>
        <n v="12450"/>
        <n v="23750"/>
        <n v="12270"/>
        <n v="12210"/>
        <n v="12120"/>
        <n v="12420"/>
        <n v="8820"/>
        <n v="165"/>
        <n v="2904"/>
        <n v="11704"/>
        <n v="0.25"/>
        <n v="1785"/>
        <n v="3100"/>
        <n v="0.49"/>
        <n v="0.12"/>
        <n v="14.34"/>
        <n v="0.24"/>
        <n v="0.21"/>
        <n v="0.16"/>
        <n v="30030"/>
        <n v="31178.43"/>
        <n v="16.54"/>
        <n v="13392"/>
        <n v="45510"/>
        <n v="47320"/>
        <m/>
      </sharedItems>
    </cacheField>
    <cacheField name="发生金额" numFmtId="0">
      <sharedItems containsString="0" containsBlank="1" containsNumber="1" minValue="-250447.86" maxValue="250332.05" count="1461">
        <n v="0"/>
        <n v="5000"/>
        <n v="-4920.41"/>
        <n v="5142.18"/>
        <n v="-5000"/>
        <n v="4778.23"/>
        <n v="-3192"/>
        <n v="3077.92"/>
        <n v="-4758.23"/>
        <n v="4928.63"/>
        <n v="4792.92"/>
        <n v="-4255"/>
        <n v="2.09"/>
        <n v="-72.34"/>
        <n v="4545.43"/>
        <n v="-300"/>
        <n v="5604.64"/>
        <n v="-4542"/>
        <n v="4713.08"/>
        <n v="-5700"/>
        <n v="5400"/>
        <n v="-5486.91"/>
        <n v="5491.87"/>
        <n v="-5117.62"/>
        <n v="1"/>
        <n v="4478.51"/>
        <n v="-4320"/>
        <n v="4411.58"/>
        <n v="-4360"/>
        <n v="0.37"/>
        <n v="22.05"/>
        <n v="0.28"/>
        <n v="0.01"/>
        <n v="1900"/>
        <n v="-1900"/>
        <n v="3000"/>
        <n v="-3000"/>
        <n v="1.32"/>
        <n v="5238.55"/>
        <n v="-1000"/>
        <n v="2000"/>
        <n v="1.46"/>
        <n v="-366.66"/>
        <n v="-3275"/>
        <n v="-66.47"/>
        <n v="-1000.1"/>
        <n v="1000.69"/>
        <n v="1000.71"/>
        <n v="-2000.2"/>
        <n v="-2000.1"/>
        <n v="8500"/>
        <n v="-8967.85"/>
        <n v="8711.67"/>
        <n v="-6489.13"/>
        <n v="-5496.04"/>
        <n v="2003.17"/>
        <n v="2001.73"/>
        <n v="1001.61"/>
        <n v="-5301.83"/>
        <n v="4690.13"/>
        <n v="9080.89"/>
        <n v="-9000.45"/>
        <n v="-4000"/>
        <n v="3.06"/>
        <n v="9008.3"/>
        <n v="40000"/>
        <n v="-10001"/>
        <n v="-5001"/>
        <n v="-10261.28"/>
        <n v="-3020"/>
        <n v="-993"/>
        <n v="10017.68"/>
        <n v="10019.22"/>
        <n v="10020.33"/>
        <n v="-5000.25"/>
        <n v="-4000.4"/>
        <n v="-6000.3"/>
        <n v="5004.57"/>
        <n v="-4673.31"/>
        <n v="5005.85"/>
        <n v="6007.94"/>
        <n v="-3917"/>
        <n v="-6283.14"/>
        <n v="5016.7"/>
        <n v="10017.45"/>
        <n v="4007.82"/>
        <n v="-4340.18"/>
        <n v="-251"/>
        <n v="-4085.18"/>
        <n v="-3615"/>
        <n v="-7308.03"/>
        <n v="3746.24"/>
        <n v="2236.76"/>
        <n v="1533.46"/>
        <n v="3816.17"/>
        <n v="-4577.03"/>
        <n v="-3675"/>
        <n v="3716.27"/>
        <n v="4532.46"/>
        <n v="-4463"/>
        <n v="4628.26"/>
        <n v="-4583.04"/>
        <n v="4658.2"/>
        <n v="-7838.61"/>
        <n v="3155.84"/>
        <n v="-4593.05"/>
        <n v="4613.11"/>
        <n v="4616.29"/>
        <n v="-7533.58"/>
        <n v="7623.66"/>
        <n v="-7723.79"/>
        <n v="7753.38"/>
        <n v="-7843.92"/>
        <n v="7808.26"/>
        <n v="-7598.35"/>
        <n v="4046.94"/>
        <n v="7514.19"/>
        <n v="-7458.5"/>
        <n v="-7523.57"/>
        <n v="-5894.48"/>
        <n v="6.23"/>
        <n v="5300"/>
        <n v="-5121.53"/>
        <n v="3526.46"/>
        <n v="3516.47"/>
        <n v="0.22"/>
        <n v="-6893.57"/>
        <n v="5861.67"/>
        <n v="-6041.94"/>
        <n v="10000"/>
        <n v="111.36"/>
        <n v="617.5"/>
        <n v="-10109.46"/>
        <n v="-5144.07"/>
        <n v="66.5"/>
        <n v="7400"/>
        <n v="-8086.42"/>
        <n v="38"/>
        <n v="372.93"/>
        <n v="0.81"/>
        <n v="8193.73"/>
        <n v="-6152.06"/>
        <n v="-2041.51"/>
        <n v="5022.01"/>
        <n v="12353.4"/>
        <n v="6057.25"/>
        <n v="5148.26"/>
        <n v="12181.01"/>
        <n v="-34219.74"/>
        <n v="-5397.11"/>
        <n v="5451.53"/>
        <n v="23490.42"/>
        <n v="-28656.45"/>
        <n v="-1244.06"/>
        <n v="-1.9"/>
        <n v="-3.5"/>
        <n v="-19.63"/>
        <n v="-2.6"/>
        <n v="-3.9"/>
        <n v="-6.5"/>
        <n v="-13"/>
        <n v="14568.85"/>
        <n v="-13600.6"/>
        <n v="18131.24"/>
        <n v="18141.22"/>
        <n v="-20882.96"/>
        <n v="18121.26"/>
        <n v="-11792.96"/>
        <n v="582.41"/>
        <n v="-19993.4"/>
        <n v="-3058.01"/>
        <n v="20002.4"/>
        <n v="-6227.14"/>
        <n v="-5160.97"/>
        <n v="-8685.9"/>
        <n v="9172.33"/>
        <n v="-6342.27"/>
        <n v="5418.3"/>
        <n v="6381.27"/>
        <n v="2.15"/>
        <n v="-6382.31"/>
        <n v="-8601.45"/>
        <n v="3084.41"/>
        <n v="-3109.5"/>
        <n v="-39997.2"/>
        <n v="40004.19"/>
        <n v="-2720"/>
        <n v="-7570"/>
        <n v="-8165"/>
        <n v="7670"/>
        <n v="6453.23"/>
        <n v="-15277.64"/>
        <n v="-9035"/>
        <n v="3940"/>
        <n v="7820"/>
        <n v="-3880"/>
        <n v="-13067.13"/>
        <n v="3935"/>
        <n v="19170.3"/>
        <n v="-19315.55"/>
        <n v="-3937.5"/>
        <n v="-2880"/>
        <n v="-3932.5"/>
        <n v="-3920"/>
        <n v="10743.86"/>
        <n v="-9998.4"/>
        <n v="11544.22"/>
        <n v="10001"/>
        <n v="-9996.4"/>
        <n v="-9995.2"/>
        <n v="20002.09"/>
        <n v="-19993.7"/>
        <n v="20002.8"/>
        <n v="-5235.3"/>
        <n v="8.3"/>
        <n v="3441.55"/>
        <n v="3421.57"/>
        <n v="-3360"/>
        <n v="-19018.58"/>
        <n v="-0.1"/>
        <n v="-790.6"/>
        <n v="5284.4"/>
        <n v="-5126.9"/>
        <n v="6102"/>
        <n v="10273.96"/>
        <n v="-4857.5"/>
        <n v="-4585"/>
        <n v="4627.5"/>
        <n v="13918.49"/>
        <n v="-4575"/>
        <n v="4577.5"/>
        <n v="4.63"/>
        <n v="-4605"/>
        <n v="-20395.03"/>
        <n v="4670"/>
        <n v="-4682.5"/>
        <n v="4785"/>
        <n v="4897.5"/>
        <n v="-9994.7"/>
        <n v="10001.04"/>
        <n v="-10354.71"/>
        <n v="431.48"/>
        <n v="-431.48"/>
        <n v="-19930"/>
        <n v="-19944"/>
        <n v="40003.79"/>
        <n v="-40004.4"/>
        <n v="19996.2"/>
        <n v="-8200.3"/>
        <n v="-11862.93"/>
        <n v="50001.5"/>
        <n v="-49934.15"/>
        <n v="7871.82"/>
        <n v="42728.62"/>
        <n v="8288.5"/>
        <n v="11993"/>
        <n v="60.33"/>
        <n v="-49999.02"/>
        <n v="-20951.27"/>
        <n v="33491.97"/>
        <n v="-31535.76"/>
        <n v="18000"/>
        <n v="-19959.8"/>
        <n v="6.2"/>
        <n v="20007.63"/>
        <n v="-20000"/>
        <n v="33143.42"/>
        <n v="-10135.67"/>
        <n v="-19998.6"/>
        <n v="20017.83"/>
        <n v="-19994"/>
        <n v="20002.16"/>
        <n v="-3235.3"/>
        <n v="100"/>
        <n v="-19993"/>
        <n v="20002.18"/>
        <n v="-8100"/>
        <n v="-8600.3"/>
        <n v="8990.69"/>
        <n v="3246.44"/>
        <n v="-8965.3"/>
        <n v="9425.26"/>
        <n v="9.52"/>
        <n v="-10816.01"/>
        <n v="-4521.24"/>
        <n v="41000"/>
        <n v="-41573.98"/>
        <n v="228"/>
        <n v="2.95"/>
        <n v="30000"/>
        <n v="-30054.01"/>
        <n v="53000"/>
        <n v="-20036.21"/>
        <n v="31750.55"/>
        <n v="-31411.03"/>
        <n v="-7803"/>
        <n v="-7635"/>
        <n v="33066.85"/>
        <n v="-32009.92"/>
        <n v="-7475"/>
        <n v="-7027"/>
        <n v="7235"/>
        <n v="8005"/>
        <n v="8155"/>
        <n v="28803.07"/>
        <n v="52423.74"/>
        <n v="28341.21"/>
        <n v="-16986.46"/>
        <n v="17376.01"/>
        <n v="-17206.53"/>
        <n v="-16626.35"/>
        <n v="-33452.77"/>
        <n v="17176.27"/>
        <n v="33913.11"/>
        <n v="-16686.37"/>
        <n v="36179.4"/>
        <n v="-5"/>
        <n v="-2"/>
        <n v="-24487.59"/>
        <n v="-25838.01"/>
        <n v="-25537.91"/>
        <n v="-34613.13"/>
        <n v="17695.59"/>
        <n v="-16886.43"/>
        <n v="-24667.64"/>
        <n v="-7775.6"/>
        <n v="50936.99"/>
        <n v="-52240.39"/>
        <n v="50624.3"/>
        <n v="52663.67"/>
        <n v="-25808"/>
        <n v="26811.69"/>
        <n v="-26528.22"/>
        <n v="-7885"/>
        <n v="-27008.37"/>
        <n v="-7619"/>
        <n v="-36461.31"/>
        <n v="27471.48"/>
        <n v="7845"/>
        <n v="7965"/>
        <n v="7886.94"/>
        <n v="-1965"/>
        <n v="-5882"/>
        <n v="-7929"/>
        <n v="68428.14"/>
        <n v="-7729"/>
        <n v="-7735.15"/>
        <n v="-7795"/>
        <n v="15547"/>
        <n v="15479.18"/>
        <n v="-15461"/>
        <n v="-13005.26"/>
        <n v="15643"/>
        <n v="-12855.26"/>
        <n v="15751"/>
        <n v="12881.85"/>
        <n v="-25908.55"/>
        <n v="-15733"/>
        <n v="26944.12"/>
        <n v="7971"/>
        <n v="8009"/>
        <n v="-60019.8"/>
        <n v="13820.88"/>
        <n v="-62215.53"/>
        <n v="123855.04"/>
        <n v="-62570.64"/>
        <n v="-75000"/>
        <n v="21166.81"/>
        <n v="21201.77"/>
        <n v="20932.12"/>
        <n v="-42664.07"/>
        <n v="42393.54"/>
        <n v="-13095"/>
        <n v="-7425"/>
        <n v="-18325.68"/>
        <n v="-18365.69"/>
        <n v="100000"/>
        <n v="-105707.16"/>
        <n v="40133.41"/>
        <n v="-40000"/>
        <n v="114847.52"/>
        <n v="-34211.28"/>
        <n v="-8115"/>
        <n v="-68861.34"/>
        <n v="8086.9"/>
        <n v="13341.38"/>
        <n v="6907.94"/>
        <n v="7167.68"/>
        <n v="-7105.14"/>
        <n v="34.14"/>
        <n v="66279.45"/>
        <n v="-90000"/>
        <n v="-8067.5"/>
        <n v="6675"/>
        <n v="1715.5"/>
        <n v="14980"/>
        <n v="-12045"/>
        <n v="12502.48"/>
        <n v="-4999.52"/>
        <n v="14.45"/>
        <n v="-9998.1"/>
        <n v="10000.7"/>
        <n v="-4535"/>
        <n v="102"/>
        <n v="-5851"/>
        <n v="-8840.18"/>
        <n v="6121"/>
        <n v="-5871"/>
        <n v="11368.35"/>
        <n v="6079"/>
        <n v="-6137"/>
        <n v="-10970.22"/>
        <n v="10873.89"/>
        <n v="-10700.21"/>
        <n v="6147"/>
        <n v="10694.08"/>
        <n v="7237.6"/>
        <n v="-6805.14"/>
        <n v="6758.09"/>
        <n v="-6795.14"/>
        <n v="6808.04"/>
        <n v="-17130.65"/>
        <n v="10.39"/>
        <n v="18100.89"/>
        <n v="-19997.8"/>
        <n v="-6233"/>
        <n v="6309"/>
        <n v="5522.76"/>
        <n v="-11489.23"/>
        <n v="-12765.26"/>
        <n v="10.25"/>
        <n v="-7692.5"/>
        <n v="7832.5"/>
        <n v="7157.69"/>
        <n v="13361.35"/>
        <n v="-13225.26"/>
        <n v="-6281"/>
        <n v="6245"/>
        <n v="7.97"/>
        <n v="-14495"/>
        <n v="-99984"/>
        <n v="100006.13"/>
        <n v="-10655"/>
        <n v="-13245.26"/>
        <n v="-6205"/>
        <n v="-13145.26"/>
        <n v="-10535"/>
        <n v="-14009"/>
        <n v="-32660.78"/>
        <n v="-39991.2"/>
        <n v="40002.46"/>
        <n v="14542.44"/>
        <n v="-39986.4"/>
        <n v="-6023"/>
        <n v="15279.7"/>
        <n v="-10685"/>
        <n v="-8725.18"/>
        <n v="40002.52"/>
        <n v="6337"/>
        <n v="-8795.18"/>
        <n v="2799.3"/>
        <n v="18818.94"/>
        <n v="10934.05"/>
        <n v="-39994.8"/>
        <n v="3915.99"/>
        <n v="40002.57"/>
        <n v="5949.04"/>
        <n v="-10895"/>
        <n v="-16265.36"/>
        <n v="17876.18"/>
        <n v="-27769.17"/>
        <n v="15998.66"/>
        <n v="27922.81"/>
        <n v="-17665.82"/>
        <n v="-28109.27"/>
        <n v="-10865"/>
        <n v="17796.3"/>
        <n v="-17645.82"/>
        <n v="11683.3"/>
        <n v="28142.52"/>
        <n v="-14185"/>
        <n v="17836.24"/>
        <n v="-14375"/>
        <n v="-17625.81"/>
        <n v="18315.6"/>
        <n v="-14075"/>
        <n v="35143.9"/>
        <n v="-13325.27"/>
        <n v="-13935"/>
        <n v="-13755"/>
        <n v="-13175"/>
        <n v="28282.33"/>
        <n v="-12705"/>
        <n v="37331.03"/>
        <n v="-6531"/>
        <n v="-12695.25"/>
        <n v="-27.99"/>
        <n v="-55.99"/>
        <n v="6481"/>
        <n v="12582.15"/>
        <n v="-6447"/>
        <n v="-11135"/>
        <n v="-3825.08"/>
        <n v="6469"/>
        <n v="11713.27"/>
        <n v="3896.01"/>
        <n v="-39412.21"/>
        <n v="40446.93"/>
        <n v="-39995.2"/>
        <n v="-9998.8"/>
        <n v="-14805.3"/>
        <n v="14939.74"/>
        <n v="-7070.14"/>
        <n v="-14565.29"/>
        <n v="71404.89"/>
        <n v="-111.97"/>
        <n v="-72601.55"/>
        <n v="1000"/>
        <n v="450"/>
        <n v="49998.5"/>
        <n v="-21126.97"/>
        <n v="-12345.25"/>
        <n v="44.19"/>
        <n v="-13825.28"/>
        <n v="12492.23"/>
        <n v="-14360"/>
        <n v="6313.52"/>
        <n v="14110.87"/>
        <n v="-13545.27"/>
        <n v="-8821.18"/>
        <n v="13740.96"/>
        <n v="8946.86"/>
        <n v="-20"/>
        <n v="-9"/>
        <n v="-13725.28"/>
        <n v="-8987.9"/>
        <n v="30.51"/>
        <n v="9007.6"/>
        <n v="-9035.18"/>
        <n v="-26328.69"/>
        <n v="26844.25"/>
        <n v="-26688.8"/>
        <n v="6871"/>
        <n v="9315.48"/>
        <n v="-19994.8"/>
        <n v="-11"/>
        <n v="20002.53"/>
        <n v="85426.23"/>
        <n v="-13025.26"/>
        <n v="-16380.41"/>
        <n v="13141.58"/>
        <n v="-8502.5"/>
        <n v="-16180.33"/>
        <n v="39000"/>
        <n v="-48148.72"/>
        <n v="-38856.04"/>
        <n v="8620"/>
        <n v="16378.19"/>
        <n v="11880.2"/>
        <n v="81214.82"/>
        <n v="-109978"/>
        <n v="9000"/>
        <n v="-50952.76"/>
        <n v="33405.51"/>
        <n v="12615"/>
        <n v="-12615"/>
        <n v="110015.32"/>
        <n v="-70000"/>
        <n v="-43030.32"/>
        <n v="12485"/>
        <n v="-9470"/>
        <n v="38312.04"/>
        <n v="-25407.87"/>
        <n v="-12461"/>
        <n v="50573.66"/>
        <n v="-51016.83"/>
        <n v="17208.59"/>
        <n v="16268.33"/>
        <n v="-58222.2"/>
        <n v="37330.28"/>
        <n v="-12585"/>
        <n v="12322.86"/>
        <n v="13045"/>
        <n v="-25367.86"/>
        <n v="-37835.74"/>
        <n v="-9625"/>
        <n v="59515.74"/>
        <n v="-12055"/>
        <n v="14765"/>
        <n v="11645"/>
        <n v="-13285"/>
        <n v="-13125"/>
        <n v="4710.4"/>
        <n v="-16905.58"/>
        <n v="25232.18"/>
        <n v="-13037"/>
        <n v="-5276.88"/>
        <n v="17351.88"/>
        <n v="-12075"/>
        <n v="80000"/>
        <n v="29939.3"/>
        <n v="-29981.7"/>
        <n v="-79957.6"/>
        <n v="110002.54"/>
        <n v="-30003.34"/>
        <n v="-79999.2"/>
        <n v="9305"/>
        <n v="-9305"/>
        <n v="17155.66"/>
        <n v="-17155.66"/>
        <n v="80020.93"/>
        <n v="-80021.93"/>
        <n v="24938.73"/>
        <n v="-24937.73"/>
        <n v="59932.8"/>
        <n v="-59932.8"/>
        <n v="60015.14"/>
        <n v="19.3"/>
        <n v="-60016.14"/>
        <n v="63.22"/>
        <n v="16423.93"/>
        <n v="-16505.45"/>
        <n v="9997.4"/>
        <n v="-9997.4"/>
        <n v="31000"/>
        <n v="28996.7"/>
        <n v="-9995.7"/>
        <n v="-30000.6"/>
        <n v="-10000.2"/>
        <n v="10000.88"/>
        <n v="-10000"/>
        <n v="-60040.26"/>
        <n v="30021.81"/>
        <n v="10007.47"/>
        <n v="10008.22"/>
        <n v="10726"/>
        <n v="-10725"/>
        <n v="-11115"/>
        <n v="11115"/>
        <n v="-16902.48"/>
        <n v="16902.48"/>
        <n v="17585.8"/>
        <n v="-17585.8"/>
        <n v="-15030.9"/>
        <n v="25856.08"/>
        <n v="24393.79"/>
        <n v="-24727.66"/>
        <n v="60896.75"/>
        <n v="18814.94"/>
        <n v="17077.26"/>
        <n v="-10145"/>
        <n v="-86000.86"/>
        <n v="-86679.09"/>
        <n v="86035.06"/>
        <n v="0.03"/>
        <n v="86679.05"/>
        <n v="11005"/>
        <n v="-97000.97"/>
        <n v="-97726.11"/>
        <n v="97043.05"/>
        <n v="0.07"/>
        <n v="24938.74"/>
        <n v="-10925.17"/>
        <n v="111.03"/>
        <n v="-21686.72"/>
        <n v="21571.7"/>
        <n v="-24687.62"/>
        <n v="24687.62"/>
        <n v="24727.66"/>
        <n v="-21312.04"/>
        <n v="21312.04"/>
        <n v="100001"/>
        <n v="-100002"/>
        <n v="4.56"/>
        <n v="325.11"/>
        <n v="24819.12"/>
        <n v="-25147.79"/>
        <n v="7005"/>
        <n v="-7005"/>
        <n v="19120"/>
        <n v="-7705"/>
        <n v="7625"/>
        <n v="-7615"/>
        <n v="-11425"/>
        <n v="11405"/>
        <n v="-11405"/>
        <n v="-13975"/>
        <n v="13975"/>
        <n v="-22393.06"/>
        <n v="22393.06"/>
        <n v="19999"/>
        <n v="58894.27"/>
        <n v="-58188.03"/>
        <n v="20334.01"/>
        <n v="-21040.25"/>
        <n v="21040.25"/>
        <n v="-20905.68"/>
        <n v="-20421.68"/>
        <n v="20288.11"/>
        <n v="20421.68"/>
        <n v="-19824.14"/>
        <n v="20223.47"/>
        <n v="-20148.24"/>
        <n v="19926.86"/>
        <n v="-20474.35"/>
        <n v="400"/>
        <n v="20318.17"/>
        <n v="-5138.45"/>
        <n v="-15705"/>
        <n v="-11385.2"/>
        <n v="-5049.7"/>
        <n v="16434.9"/>
        <n v="2.18"/>
        <n v="-5015.3"/>
        <n v="5015.3"/>
        <n v="109.59"/>
        <n v="15773.23"/>
        <n v="-15885"/>
        <n v="-16374.92"/>
        <n v="16374.92"/>
        <n v="22140.64"/>
        <n v="-21486.66"/>
        <n v="562.5"/>
        <n v="-1217.48"/>
        <n v="-7405.39"/>
        <n v="4440"/>
        <n v="21811.39"/>
        <n v="-14405"/>
        <n v="5785"/>
        <n v="-10225"/>
        <n v="15035"/>
        <n v="-14965"/>
        <n v="-24680"/>
        <n v="9715"/>
        <n v="14895"/>
        <n v="15665"/>
        <n v="-15665"/>
        <n v="11852.87"/>
        <n v="-11843.4"/>
        <n v="-11882.07"/>
        <n v="11872.6"/>
        <n v="-16075"/>
        <n v="16075"/>
        <n v="15565"/>
        <n v="-15565"/>
        <n v="15635"/>
        <n v="-24367.55"/>
        <n v="24477.89"/>
        <n v="-15525"/>
        <n v="-26923.74"/>
        <n v="15335"/>
        <n v="18575.26"/>
        <n v="-18956.25"/>
        <n v="19224.38"/>
        <n v="9995.01"/>
        <n v="7505"/>
        <n v="-5795"/>
        <n v="-11705"/>
        <n v="-12312.42"/>
        <n v="12312.42"/>
        <n v="8196.94"/>
        <n v="-11745"/>
        <n v="-5715"/>
        <n v="-8405"/>
        <n v="5745"/>
        <n v="11923.06"/>
        <n v="11107.51"/>
        <n v="-12255"/>
        <n v="-5865"/>
        <n v="5885"/>
        <n v="-11365"/>
        <n v="12492.49"/>
        <n v="-10548.79"/>
        <n v="-22176.87"/>
        <n v="8475"/>
        <n v="-5875"/>
        <n v="11943.04"/>
        <n v="12357.62"/>
        <n v="5825"/>
        <n v="-13251.68"/>
        <n v="-5695"/>
        <n v="5765"/>
        <n v="21586.68"/>
        <n v="6050"/>
        <n v="5865"/>
        <n v="8285"/>
        <n v="-8355"/>
        <n v="-11845"/>
        <n v="12205"/>
        <n v="-12205"/>
        <n v="-12565"/>
        <n v="12535"/>
        <n v="-12485"/>
        <n v="12515"/>
        <n v="8815"/>
        <n v="-8845"/>
        <n v="60.75"/>
        <n v="-17425.4"/>
        <n v="12695"/>
        <n v="17294.65"/>
        <n v="-12625"/>
        <n v="29780.33"/>
        <n v="-17205.33"/>
        <n v="12435"/>
        <n v="-12445"/>
        <n v="-41396.61"/>
        <n v="24712.34"/>
        <n v="33709.55"/>
        <n v="-17025.28"/>
        <n v="11375.23"/>
        <n v="-11375.23"/>
        <n v="31804.54"/>
        <n v="-18355.69"/>
        <n v="-25"/>
        <n v="-1.75"/>
        <n v="-13.25"/>
        <n v="-12106.7"/>
        <n v="13175"/>
        <n v="11892.84"/>
        <n v="-13245"/>
        <n v="-13634.99"/>
        <n v="13635"/>
        <n v="17734.5"/>
        <n v="-17585.45"/>
        <n v="-1.25"/>
        <n v="-13.75"/>
        <n v="13330.95"/>
        <n v="-13465"/>
        <n v="-13615"/>
        <n v="13615"/>
        <n v="-19374.59"/>
        <n v="19374.59"/>
        <n v="17685.48"/>
        <n v="-17685.48"/>
        <n v="-17665.47"/>
        <n v="-50"/>
        <n v="2.8"/>
        <n v="-22202.99"/>
        <n v="35588.96"/>
        <n v="-13405"/>
        <n v="101.43"/>
        <n v="-13557.8"/>
        <n v="13555"/>
        <n v="18654.38"/>
        <n v="-18755.81"/>
        <n v="13165"/>
        <n v="-13165"/>
        <n v="-12635"/>
        <n v="12635"/>
        <n v="999"/>
        <n v="43292.26"/>
        <n v="-43000.43"/>
        <n v="-43404.93"/>
        <n v="43113.1"/>
        <n v="43404.93"/>
        <n v="-43415.1"/>
        <n v="43010.6"/>
        <n v="18866.85"/>
        <n v="-18865.85"/>
        <n v="-5049.19"/>
        <n v="18734.19"/>
        <n v="-13685"/>
        <n v="-12429.8"/>
        <n v="12429.8"/>
        <n v="17705.49"/>
        <n v="-17705.49"/>
        <n v="12012.53"/>
        <n v="1192.47"/>
        <n v="-13205"/>
        <n v="-12270.5"/>
        <n v="12316"/>
        <n v="-31793.51"/>
        <n v="19474.45"/>
        <n v="-19115.92"/>
        <n v="13575"/>
        <n v="17814.48"/>
        <n v="21.37"/>
        <n v="13535"/>
        <n v="19334.64"/>
        <n v="-13485"/>
        <n v="-19406.01"/>
        <n v="16266.23"/>
        <n v="-17465.41"/>
        <n v="13335"/>
        <n v="19154.87"/>
        <n v="-18345.69"/>
        <n v="-12945"/>
        <n v="3850.14"/>
        <n v="12735"/>
        <n v="-16585.14"/>
        <n v="-3889.8"/>
        <n v="16754.8"/>
        <n v="-12865"/>
        <n v="-7993.97"/>
        <n v="12595.6"/>
        <n v="16454.9"/>
        <n v="-21056.53"/>
        <n v="-20872.62"/>
        <n v="20872.62"/>
        <n v="-18655.53"/>
        <n v="18655.53"/>
        <n v="31631.67"/>
        <n v="-13325"/>
        <n v="-18305.67"/>
        <n v="-18725.44"/>
        <n v="18725.44"/>
        <n v="12745"/>
        <n v="-12745"/>
        <n v="18035.59"/>
        <n v="-18035.59"/>
        <n v="22176.87"/>
        <n v="-22530.45"/>
        <n v="22530.45"/>
        <n v="10305"/>
        <n v="-10305"/>
        <n v="-7104.09"/>
        <n v="1009.09"/>
        <n v="-11765"/>
        <n v="12075"/>
        <n v="70"/>
        <n v="-11985"/>
        <n v="11915"/>
        <n v="15076"/>
        <n v="-11905"/>
        <n v="-2170"/>
        <n v="-12095"/>
        <n v="12095"/>
        <n v="-15515"/>
        <n v="15515"/>
        <n v="32000"/>
        <n v="3.53"/>
        <n v="-50066.3"/>
        <n v="18066.3"/>
        <n v="4000"/>
        <n v="163.24"/>
        <n v="-16059.09"/>
        <n v="4340.56"/>
        <n v="11715"/>
        <n v="-60"/>
        <n v="16992.06"/>
        <n v="-17095.3"/>
        <n v="75137.09"/>
        <n v="-30769.54"/>
        <n v="-44000.44"/>
        <n v="-44432.64"/>
        <n v="44064.53"/>
        <n v="-31269.3"/>
        <n v="31270.3"/>
        <n v="17155.32"/>
        <n v="-17155.32"/>
        <n v="-5707.76"/>
        <n v="16957.76"/>
        <n v="-11250"/>
        <n v="31889.88"/>
        <n v="-31889.88"/>
        <n v="-14255.1"/>
        <n v="31150.34"/>
        <n v="-16895.24"/>
        <n v="-5062.72"/>
        <n v="16987.72"/>
        <n v="-11925"/>
        <n v="-1118.38"/>
        <n v="1118.38"/>
        <n v="15345"/>
        <n v="-15345"/>
        <n v="15330.56"/>
        <n v="-15365"/>
        <n v="15539.43"/>
        <n v="-15505"/>
        <n v="-15574.22"/>
        <n v="31079.23"/>
        <n v="24020"/>
        <n v="-15735"/>
        <n v="-14485"/>
        <n v="-25854.03"/>
        <n v="9955"/>
        <n v="-15895"/>
        <n v="-14565"/>
        <n v="15949.03"/>
        <n v="14495"/>
        <n v="39533.39"/>
        <n v="-14625"/>
        <n v="-16143"/>
        <n v="-8057"/>
        <n v="6500"/>
        <n v="-16250"/>
        <n v="16408.48"/>
        <n v="13075"/>
        <n v="-13761"/>
        <n v="-16345.07"/>
        <n v="29950.71"/>
        <n v="48656.18"/>
        <n v="-16105"/>
        <n v="-14685"/>
        <n v="-48085.86"/>
        <n v="10918.95"/>
        <n v="-30584.54"/>
        <n v="16188.76"/>
        <n v="14715"/>
        <n v="-11305"/>
        <n v="-62204.27"/>
        <n v="40122.37"/>
        <n v="46168.52"/>
        <n v="-32249.99"/>
        <n v="10959.02"/>
        <n v="-24247.51"/>
        <n v="21451.86"/>
        <n v="-23292.76"/>
        <n v="23352.76"/>
        <n v="-30799.6"/>
        <n v="30799.61"/>
        <n v="10984.99"/>
        <n v="-10985"/>
        <n v="10065"/>
        <n v="-10065"/>
        <n v="24880.47"/>
        <n v="-9725"/>
        <n v="17634.53"/>
        <n v="-10010"/>
        <n v="-9295"/>
        <n v="35648.46"/>
        <n v="-12345"/>
        <n v="-9025"/>
        <n v="-10085"/>
        <n v="13441.54"/>
        <n v="9155"/>
        <n v="-13425"/>
        <n v="-21306.79"/>
        <n v="-13145"/>
        <n v="12235"/>
        <n v="12922.06"/>
        <n v="9215"/>
        <n v="-13285.27"/>
        <n v="8645"/>
        <n v="-8645"/>
        <n v="-35821.96"/>
        <n v="36071.96"/>
        <n v="-9465"/>
        <n v="15705"/>
        <n v="9275"/>
        <n v="-13255"/>
        <n v="-11725"/>
        <n v="1601.88"/>
        <n v="11863.12"/>
        <n v="-22301.62"/>
        <n v="-5085"/>
        <n v="13691.29"/>
        <n v="13641.07"/>
        <n v="-13645"/>
        <n v="27244.27"/>
        <n v="-13545"/>
        <n v="6299.99"/>
        <n v="5445"/>
        <n v="20179.83"/>
        <n v="10575"/>
        <n v="-11135.2"/>
        <n v="-10765"/>
        <n v="11623.38"/>
        <n v="-9125.6"/>
        <n v="-11525"/>
        <n v="28962.01"/>
        <n v="-14825"/>
        <n v="-11825"/>
        <n v="-31473.21"/>
        <n v="14929"/>
        <n v="10395"/>
        <n v="-10545"/>
        <n v="-11085"/>
        <n v="-11145"/>
        <n v="6115"/>
        <n v="15189.79"/>
        <n v="10935"/>
        <n v="-7550"/>
        <n v="11555"/>
        <n v="-10785"/>
        <n v="10995"/>
        <n v="-39801.02"/>
        <n v="11235"/>
        <n v="11995"/>
        <n v="10424.57"/>
        <n v="11423.56"/>
        <n v="22233.11"/>
        <n v="-24287.53"/>
        <n v="7662.32"/>
        <n v="-10885"/>
        <n v="28.99"/>
        <n v="-30"/>
        <n v="-9864"/>
        <n v="12495"/>
        <n v="-11505"/>
        <n v="12475"/>
        <n v="-15135"/>
        <n v="11535"/>
        <n v="-18964.38"/>
        <n v="15594.38"/>
        <n v="11135"/>
        <n v="-7765"/>
        <n v="5.74"/>
        <n v="400.97"/>
        <n v="1706.35"/>
        <n v="-10160"/>
        <n v="8046.94"/>
        <n v="-100000"/>
        <n v="7105"/>
        <n v="-7105"/>
        <n v="-7695"/>
        <n v="7695"/>
        <n v="7265"/>
        <n v="-7265"/>
        <n v="7795"/>
        <n v="9755"/>
        <n v="-9755"/>
        <n v="160000"/>
        <n v="30478.19"/>
        <n v="-189880.3"/>
        <n v="190019.64"/>
        <n v="-160000"/>
        <n v="-30618.53"/>
        <n v="9456"/>
        <n v="-9455"/>
        <n v="17550"/>
        <n v="-7805"/>
        <n v="-9745"/>
        <n v="3612.53"/>
        <n v="10355"/>
        <n v="-13851"/>
        <n v="-8178.45"/>
        <n v="8061.92"/>
        <n v="5155"/>
        <n v="-5155"/>
        <n v="3023.45"/>
        <n v="-2987"/>
        <n v="5.32"/>
        <n v="178.64"/>
        <n v="5030.69"/>
        <n v="-5141"/>
        <n v="290"/>
        <n v="6060.93"/>
        <n v="-6437.8"/>
        <n v="6380"/>
        <n v="-6404.23"/>
        <n v="6404.23"/>
        <n v="-6125"/>
        <n v="-6287.21"/>
        <n v="6008.98"/>
        <n v="6000"/>
        <n v="-6000"/>
        <n v="4.99"/>
        <n v="3"/>
        <n v="-0.6"/>
        <n v="1.36"/>
        <n v="-1980"/>
        <n v="1.27"/>
        <n v="-4775.56"/>
        <n v="4745.24"/>
        <n v="2999"/>
        <n v="5063"/>
        <n v="-5063"/>
        <n v="11.69"/>
        <n v="0.09"/>
        <n v="5"/>
        <n v="-1"/>
        <n v="250332.05"/>
        <n v="-250447.86"/>
        <n v="28359.79"/>
        <n v="-28358.79"/>
        <n v="222000"/>
        <n v="-222000"/>
        <n v="2.79"/>
        <n v="34.37"/>
        <n v="-31134.28"/>
        <n v="31408.8"/>
        <n v="-2132.18"/>
        <n v="20000"/>
        <n v="-21538.64"/>
        <n v="-0.01"/>
        <n v="-19895.05"/>
        <n v="-0.02"/>
        <n v="-1479.6"/>
        <n v="-0.03"/>
        <n v="-18721.63"/>
        <n v="3700.62"/>
        <n v="50"/>
        <n v="2.47"/>
        <n v="2.04"/>
        <n v="-23666.73"/>
        <n v="-0.06"/>
        <n v="-0.08"/>
        <n v="-0.11"/>
        <n v="-0.14"/>
        <n v="-0.2"/>
        <n v="-1608"/>
        <n v="951.45"/>
        <n v="1692.5"/>
        <n v="-2663.11"/>
        <n v="0.06"/>
        <n v="0.02"/>
        <n v="-2633"/>
        <n v="2662.94"/>
        <n v="-2993.2"/>
        <n v="6027.5"/>
        <n v="-6064.15"/>
        <n v="0.08"/>
        <n v="-6041.3"/>
        <n v="6063.97"/>
        <n v="19000"/>
        <n v="-1346.33"/>
        <n v="-0.05"/>
        <n v="0.05"/>
        <n v="-18676.14"/>
        <n v="7815.2"/>
        <n v="-9615.17"/>
        <n v="1800"/>
        <n v="-5461"/>
        <n v="5461.03"/>
        <n v="5559"/>
        <n v="6721"/>
        <n v="-12282.06"/>
        <n v="4.13"/>
        <n v="3952"/>
        <n v="-3956.1"/>
        <n v="18283.83"/>
        <n v="-18283.63"/>
        <n v="19026.43"/>
        <n v="-18469.34"/>
        <n v="-4248.82"/>
        <n v="4773.11"/>
        <n v="-1080.86"/>
        <n v="5153.47"/>
        <n v="18782.97"/>
        <n v="-18719.75"/>
        <n v="-5216.58"/>
        <n v="-0.04"/>
        <n v="0.04"/>
        <n v="12674.29"/>
        <n v="-12674.23"/>
        <n v="12653.08"/>
        <n v="-12653"/>
        <n v="425"/>
        <n v="-1452.34"/>
        <n v="-18421.37"/>
        <n v="2.83"/>
        <n v="29.46"/>
        <n v="-1845.04"/>
        <n v="-27901.82"/>
        <n v="-0.31"/>
        <n v="28000"/>
        <n v="-1593.58"/>
        <n v="-26452.81"/>
        <n v="-0.13"/>
        <n v="3002.17"/>
        <n v="704.23"/>
        <n v="-4495"/>
        <n v="0.13"/>
        <n v="-0.17"/>
        <n v="0.17"/>
        <n v="3024"/>
        <n v="-3028"/>
        <n v="28982.28"/>
        <n v="-25814.52"/>
        <n v="-3167.72"/>
        <n v="-7881"/>
        <n v="8247.74"/>
        <n v="7569.56"/>
        <n v="-0.15"/>
        <n v="-7935.95"/>
        <n v="0.15"/>
        <n v="8309.04"/>
        <n v="-8308.96"/>
        <n v="8250.07"/>
        <n v="5014.97"/>
        <n v="-13265"/>
        <n v="1.8"/>
        <n v="18.9"/>
        <n v="25000"/>
        <n v="-5806.11"/>
        <n v="-0.4"/>
        <n v="-18657.17"/>
        <n v="-0.18"/>
        <n v="0.96"/>
        <n v="7.17"/>
        <n v="-0.36"/>
        <n v="-14559.68"/>
        <n v="14000.33"/>
        <n v="0.18"/>
        <n v="-14650.27"/>
        <n v="14650.33"/>
        <n v="-16140.89"/>
        <n v="16140.94"/>
        <n v="-0.3"/>
        <n v="0.3"/>
        <n v="0.1"/>
        <n v="16469.38"/>
        <n v="-16469.33"/>
        <n v="-17113.47"/>
        <n v="17113.52"/>
        <n v="13725.05"/>
        <n v="-13725"/>
        <n v="0.2"/>
        <n v="0.73"/>
        <n v="-14181.48"/>
        <n v="14180.8"/>
        <n v="136.58"/>
        <n v="12628.47"/>
        <n v="-12765"/>
        <n v="-14100.83"/>
        <n v="14100.88"/>
        <n v="5616"/>
        <n v="-5615.95"/>
        <n v="59156.68"/>
        <n v="-59156.53"/>
        <n v="-10348.95"/>
        <n v="10307"/>
        <n v="10359"/>
        <n v="10265.05"/>
        <n v="-10317"/>
        <n v="-10265"/>
        <n v="-59322.08"/>
        <n v="59322.13"/>
        <n v="13175.13"/>
        <n v="66"/>
        <n v="11999.54"/>
        <n v="18105.04"/>
        <n v="-6159.72"/>
        <n v="-12065.24"/>
        <n v="12162.58"/>
        <n v="11728.07"/>
        <n v="-11945.24"/>
        <n v="12000"/>
        <n v="7905.44"/>
        <n v="-19905.4"/>
        <n v="-11825.2"/>
        <n v="-0.12"/>
        <n v="0.12"/>
        <n v="12042.7"/>
        <n v="-12110.35"/>
        <n v="12012.97"/>
        <n v="11778.48"/>
        <n v="-13.2"/>
        <n v="60.12"/>
        <n v="-11922.66"/>
        <n v="-12704.94"/>
        <n v="11945.28"/>
        <n v="-12042.54"/>
        <n v="12282.45"/>
        <n v="-12185.24"/>
        <n v="23493.46"/>
        <n v="-12035.24"/>
        <n v="-11885.24"/>
        <n v="-11892.56"/>
        <n v="-12012.54"/>
        <n v="85"/>
        <n v="-12247.38"/>
        <n v="4847.27"/>
        <n v="8306.51"/>
        <n v="14145.48"/>
        <n v="-14525"/>
        <n v="19.16"/>
        <n v="-13044.05"/>
        <n v="19.66"/>
        <n v="-15459.37"/>
        <n v="15459.52"/>
        <n v="-12185.19"/>
        <n v="25050.05"/>
        <n v="-16785"/>
        <n v="-8384.85"/>
        <n v="8515"/>
        <n v="8265.05"/>
        <n v="-8395"/>
        <n v="8145.05"/>
        <n v="-8265"/>
        <n v="5.58"/>
        <n v="-8264.95"/>
        <n v="8375"/>
        <n v="146.86"/>
        <n v="-8380.53"/>
        <n v="8505"/>
        <n v="6912"/>
        <n v="-12000"/>
        <n v="4942.19"/>
        <n v="16390.15"/>
        <n v="-8385"/>
        <n v="-8255"/>
        <n v="-8254.95"/>
        <n v="8365"/>
        <n v="-8374.95"/>
        <n v="8495"/>
        <n v="-8494.85"/>
        <n v="8685"/>
        <n v="29617.02"/>
        <n v="-8555"/>
        <n v="-8913.64"/>
        <n v="-8544.96"/>
        <n v="-12288.28"/>
        <n v="8655.15"/>
        <n v="-8594.95"/>
        <n v="-8615"/>
        <n v="8745"/>
        <n v="-12305.25"/>
        <n v="11276.03"/>
        <n v="-12155.24"/>
        <n v="8645.05"/>
        <n v="-20817.4"/>
        <n v="8825"/>
        <n v="24205.05"/>
        <n v="-24205"/>
        <n v="12432.29"/>
        <n v="-7409.03"/>
        <n v="12432.3"/>
        <n v="-200"/>
        <n v="200.15"/>
        <n v="-23721.2"/>
        <n v="23721.24"/>
        <n v="-500"/>
        <n v="12625.29"/>
        <n v="-12275.24"/>
        <n v="11825.28"/>
        <n v="12192.55"/>
        <n v="-12125.24"/>
        <n v="-24361.92"/>
        <n v="12252.48"/>
        <n v="12402.33"/>
        <n v="8555.04"/>
        <n v="-8695"/>
        <n v="8415.15"/>
        <n v="-7544.95"/>
        <n v="-5198.95"/>
        <n v="-30000"/>
        <n v="-4446.2"/>
        <n v="11.76"/>
        <n v="23614.05"/>
        <n v="2892.43"/>
        <n v="165"/>
        <n v="-2904"/>
        <n v="2904"/>
        <n v="-11709"/>
        <n v="-3068.87"/>
        <n v="-0.25"/>
        <n v="0.25"/>
        <n v="1785.05"/>
        <n v="-1785"/>
        <n v="-3091.85"/>
        <n v="3091.9"/>
        <n v="-0.49"/>
        <n v="0.49"/>
        <n v="14.34"/>
        <n v="-0.24"/>
        <n v="-0.21"/>
        <n v="-0.16"/>
        <n v="26000"/>
        <n v="4019.5"/>
        <n v="-30030"/>
        <n v="-31117.07"/>
        <n v="31117.19"/>
        <n v="16.54"/>
        <n v="13392"/>
        <n v="45454.93"/>
        <n v="1858.07"/>
        <n v="-47329.46"/>
        <n v="-13391.96"/>
        <m/>
      </sharedItems>
    </cacheField>
    <cacheField name="资金余额" numFmtId="0">
      <sharedItems containsString="0" containsBlank="1" containsNumber="1" minValue="-97038.05" maxValue="250447.86" count="1628">
        <n v="0"/>
        <n v="5000"/>
        <n v="79.59"/>
        <n v="5221.77"/>
        <n v="221.77"/>
        <n v="1808"/>
        <n v="4885.92"/>
        <n v="127.69"/>
        <n v="5056.32"/>
        <n v="298.09"/>
        <n v="5091.01"/>
        <n v="836.01"/>
        <n v="838.1"/>
        <n v="765.76"/>
        <n v="5311.19"/>
        <n v="311.19"/>
        <n v="11.19"/>
        <n v="5615.83"/>
        <n v="1073.83"/>
        <n v="5786.91"/>
        <n v="86.91"/>
        <n v="5486.91"/>
        <n v="5491.87"/>
        <n v="374.25"/>
        <n v="375.25"/>
        <n v="75.25"/>
        <n v="4553.76"/>
        <n v="233.76"/>
        <n v="4645.34"/>
        <n v="285.34"/>
        <n v="285.71"/>
        <n v="307.76"/>
        <n v="7.76"/>
        <n v="8.04"/>
        <n v="8.05"/>
        <n v="8.06"/>
        <n v="1908.06"/>
        <n v="3008.06"/>
        <n v="9.38"/>
        <n v="5247.93"/>
        <n v="4247.93"/>
        <n v="6247.93"/>
        <n v="6249.39"/>
        <n v="5882.73"/>
        <n v="2607.73"/>
        <n v="2541.26"/>
        <n v="1541.16"/>
        <n v="541.06"/>
        <n v="1541.75"/>
        <n v="2542.46"/>
        <n v="4542.46"/>
        <n v="2542.26"/>
        <n v="1542.16"/>
        <n v="3542.16"/>
        <n v="1542.06"/>
        <n v="10042.06"/>
        <n v="1074.21"/>
        <n v="4074.21"/>
        <n v="12785.88"/>
        <n v="6296.75"/>
        <n v="800.71"/>
        <n v="2803.88"/>
        <n v="4805.61"/>
        <n v="5807.22"/>
        <n v="505.39"/>
        <n v="5195.52"/>
        <n v="14276.41"/>
        <n v="5275.96"/>
        <n v="4275.96"/>
        <n v="275.96"/>
        <n v="279.02"/>
        <n v="9287.32"/>
        <n v="49287.32"/>
        <n v="39286.32"/>
        <n v="34285.32"/>
        <n v="24284.32"/>
        <n v="14283.32"/>
        <n v="4022.04"/>
        <n v="1002.04"/>
        <n v="9.04"/>
        <n v="10026.72"/>
        <n v="20045.94"/>
        <n v="30066.27"/>
        <n v="20065.27"/>
        <n v="15065.02"/>
        <n v="10064.77"/>
        <n v="6064.37"/>
        <n v="64.07"/>
        <n v="5068.64"/>
        <n v="395.33"/>
        <n v="5401.18"/>
        <n v="11409.12"/>
        <n v="7492.12"/>
        <n v="1208.98"/>
        <n v="6225.68"/>
        <n v="16243.13"/>
        <n v="20250.95"/>
        <n v="15910.77"/>
        <n v="15659.77"/>
        <n v="11574.59"/>
        <n v="7959.59"/>
        <n v="651.56"/>
        <n v="4397.8"/>
        <n v="6634.56"/>
        <n v="8168.02"/>
        <n v="11984.19"/>
        <n v="7407.16"/>
        <n v="3732.16"/>
        <n v="7448.43"/>
        <n v="11980.89"/>
        <n v="7517.89"/>
        <n v="12146.15"/>
        <n v="7563.11"/>
        <n v="12221.31"/>
        <n v="4382.7"/>
        <n v="7538.54"/>
        <n v="12196.74"/>
        <n v="7603.69"/>
        <n v="12216.8"/>
        <n v="16833.09"/>
        <n v="9299.51"/>
        <n v="16923.17"/>
        <n v="9199.38"/>
        <n v="16952.76"/>
        <n v="9108.84"/>
        <n v="16917.1"/>
        <n v="9318.75"/>
        <n v="13365.69"/>
        <n v="20879.88"/>
        <n v="13421.38"/>
        <n v="5897.81"/>
        <n v="3.33"/>
        <n v="9.56"/>
        <n v="5309.56"/>
        <n v="188.03"/>
        <n v="3714.49"/>
        <n v="7230.96"/>
        <n v="7231.18"/>
        <n v="337.61"/>
        <n v="6199.28"/>
        <n v="157.34"/>
        <n v="10157.34"/>
        <n v="15157.34"/>
        <n v="15268.7"/>
        <n v="15886.2"/>
        <n v="5776.74"/>
        <n v="632.67"/>
        <n v="699.17"/>
        <n v="8099.17"/>
        <n v="12.75"/>
        <n v="50.75"/>
        <n v="423.68"/>
        <n v="424.49"/>
        <n v="124.49"/>
        <n v="8318.22"/>
        <n v="2166.16"/>
        <n v="124.65"/>
        <n v="5146.66"/>
        <n v="17500.06"/>
        <n v="23557.31"/>
        <n v="28705.57"/>
        <n v="40886.58"/>
        <n v="6666.84"/>
        <n v="1269.73"/>
        <n v="6721.26"/>
        <n v="30211.68"/>
        <n v="1555.23"/>
        <n v="311.17"/>
        <n v="309.27"/>
        <n v="305.77"/>
        <n v="286.14"/>
        <n v="283.54"/>
        <n v="279.64"/>
        <n v="273.14"/>
        <n v="260.14"/>
        <n v="253.64"/>
        <n v="14822.49"/>
        <n v="1221.89"/>
        <n v="19353.13"/>
        <n v="37494.35"/>
        <n v="16611.39"/>
        <n v="34732.65"/>
        <n v="22939.69"/>
        <n v="23522.1"/>
        <n v="3528.7"/>
        <n v="470.69"/>
        <n v="20473.09"/>
        <n v="14245.95"/>
        <n v="9084.98"/>
        <n v="399.08"/>
        <n v="9571.41"/>
        <n v="3229.14"/>
        <n v="8647.44"/>
        <n v="15028.71"/>
        <n v="15030.86"/>
        <n v="8648.55"/>
        <n v="47.1"/>
        <n v="3131.51"/>
        <n v="22.01"/>
        <n v="40022.01"/>
        <n v="24.81"/>
        <n v="40029"/>
        <n v="37309"/>
        <n v="29739"/>
        <n v="21574"/>
        <n v="29244"/>
        <n v="35697.23"/>
        <n v="20419.59"/>
        <n v="11384.59"/>
        <n v="15324.59"/>
        <n v="23144.59"/>
        <n v="19264.59"/>
        <n v="6197.46"/>
        <n v="10132.46"/>
        <n v="29302.76"/>
        <n v="9987.21"/>
        <n v="13927.21"/>
        <n v="9989.71"/>
        <n v="7109.71"/>
        <n v="3177.21"/>
        <n v="-742.79"/>
        <n v="10001.07"/>
        <n v="2.67"/>
        <n v="11546.89"/>
        <n v="21547.89"/>
        <n v="11551.49"/>
        <n v="1556.29"/>
        <n v="21558.38"/>
        <n v="1564.68"/>
        <n v="21567.48"/>
        <n v="16332.18"/>
        <n v="16340.48"/>
        <n v="19782.03"/>
        <n v="23203.6"/>
        <n v="19843.6"/>
        <n v="825.02"/>
        <n v="824.92"/>
        <n v="34.32"/>
        <n v="5318.72"/>
        <n v="191.82"/>
        <n v="6293.82"/>
        <n v="16567.78"/>
        <n v="11710.28"/>
        <n v="7125.28"/>
        <n v="11752.78"/>
        <n v="25671.27"/>
        <n v="21096.27"/>
        <n v="25673.77"/>
        <n v="25678.4"/>
        <n v="21073.4"/>
        <n v="678.37"/>
        <n v="5348.37"/>
        <n v="665.87"/>
        <n v="5450.87"/>
        <n v="10348.37"/>
        <n v="353.67"/>
        <n v="10354.71"/>
        <n v="431.48"/>
        <n v="40000"/>
        <n v="20070"/>
        <n v="126"/>
        <n v="40129.79"/>
        <n v="125.39"/>
        <n v="20121.59"/>
        <n v="11921.29"/>
        <n v="58.36"/>
        <n v="50059.86"/>
        <n v="125.71"/>
        <n v="7997.53"/>
        <n v="50726.15"/>
        <n v="59014.65"/>
        <n v="71007.65"/>
        <n v="71067.98"/>
        <n v="21068.96"/>
        <n v="117.69"/>
        <n v="33609.66"/>
        <n v="2073.9"/>
        <n v="20073.9"/>
        <n v="114.1"/>
        <n v="120.3"/>
        <n v="20127.93"/>
        <n v="127.93"/>
        <n v="33271.35"/>
        <n v="23135.68"/>
        <n v="3137.08"/>
        <n v="23154.91"/>
        <n v="3160.91"/>
        <n v="23163.07"/>
        <n v="19927.77"/>
        <n v="20027.77"/>
        <n v="34.77"/>
        <n v="20036.95"/>
        <n v="11936.95"/>
        <n v="3336.65"/>
        <n v="12327.34"/>
        <n v="15573.78"/>
        <n v="6608.48"/>
        <n v="16033.74"/>
        <n v="16043.26"/>
        <n v="5227.25"/>
        <n v="706.01"/>
        <n v="41706.01"/>
        <n v="132.03"/>
        <n v="360.03"/>
        <n v="362.98"/>
        <n v="30362.98"/>
        <n v="308.97"/>
        <n v="53308.97"/>
        <n v="33272.76"/>
        <n v="65023.31"/>
        <n v="33612.28"/>
        <n v="25809.28"/>
        <n v="18174.28"/>
        <n v="51241.13"/>
        <n v="19231.21"/>
        <n v="11756.21"/>
        <n v="4729.21"/>
        <n v="11964.21"/>
        <n v="19969.21"/>
        <n v="28124.21"/>
        <n v="56927.28"/>
        <n v="109351.02"/>
        <n v="137692.23"/>
        <n v="120705.77"/>
        <n v="138081.78"/>
        <n v="120875.25"/>
        <n v="104248.9"/>
        <n v="70796.13"/>
        <n v="87972.4"/>
        <n v="121885.51"/>
        <n v="105199.14"/>
        <n v="141378.54"/>
        <n v="141373.54"/>
        <n v="141368.54"/>
        <n v="141366.54"/>
        <n v="116878.95"/>
        <n v="91040.94"/>
        <n v="65503.03"/>
        <n v="30889.9"/>
        <n v="48585.49"/>
        <n v="58585.49"/>
        <n v="41699.06"/>
        <n v="17031.42"/>
        <n v="9255.82"/>
        <n v="60192.81"/>
        <n v="7952.42"/>
        <n v="58576.72"/>
        <n v="111240.39"/>
        <n v="85432.39"/>
        <n v="112244.08"/>
        <n v="85715.86"/>
        <n v="77830.86"/>
        <n v="50822.49"/>
        <n v="43203.49"/>
        <n v="6742.18"/>
        <n v="34213.66"/>
        <n v="42058.66"/>
        <n v="50023.66"/>
        <n v="57910.6"/>
        <n v="55945.6"/>
        <n v="50063.6"/>
        <n v="42134.6"/>
        <n v="110562.74"/>
        <n v="102833.74"/>
        <n v="95098.59"/>
        <n v="87303.59"/>
        <n v="102850.59"/>
        <n v="118329.77"/>
        <n v="102868.77"/>
        <n v="89863.51"/>
        <n v="105506.51"/>
        <n v="92651.25"/>
        <n v="108402.25"/>
        <n v="121284.1"/>
        <n v="95375.55"/>
        <n v="79642.55"/>
        <n v="106586.67"/>
        <n v="114557.67"/>
        <n v="122566.67"/>
        <n v="62546.87"/>
        <n v="76367.75"/>
        <n v="14152.22"/>
        <n v="138007.26"/>
        <n v="75436.62"/>
        <n v="436.62"/>
        <n v="21603.43"/>
        <n v="42805.2"/>
        <n v="63737.32"/>
        <n v="21073.25"/>
        <n v="63466.79"/>
        <n v="50371.79"/>
        <n v="42946.79"/>
        <n v="24621.11"/>
        <n v="6255.42"/>
        <n v="106255.42"/>
        <n v="548.26"/>
        <n v="40681.67"/>
        <n v="681.67"/>
        <n v="115529.19"/>
        <n v="81317.91"/>
        <n v="73202.91"/>
        <n v="4341.57"/>
        <n v="12428.47"/>
        <n v="25769.85"/>
        <n v="32677.79"/>
        <n v="39845.47"/>
        <n v="32740.33"/>
        <n v="32774.47"/>
        <n v="99053.92"/>
        <n v="9053.92"/>
        <n v="986.42"/>
        <n v="7661.42"/>
        <n v="9376.92"/>
        <n v="24356.92"/>
        <n v="12311.92"/>
        <n v="24814.4"/>
        <n v="19814.88"/>
        <n v="19829.33"/>
        <n v="9831.23"/>
        <n v="19831.93"/>
        <n v="15296.93"/>
        <n v="15398.93"/>
        <n v="9547.93"/>
        <n v="707.75"/>
        <n v="6828.75"/>
        <n v="957.75"/>
        <n v="12326.1"/>
        <n v="18405.1"/>
        <n v="12268.1"/>
        <n v="1297.88"/>
        <n v="12171.77"/>
        <n v="1471.56"/>
        <n v="7618.56"/>
        <n v="18312.64"/>
        <n v="25550.24"/>
        <n v="18745.1"/>
        <n v="25503.19"/>
        <n v="18708.05"/>
        <n v="25516.09"/>
        <n v="8385.44"/>
        <n v="8395.83"/>
        <n v="26496.72"/>
        <n v="6498.92"/>
        <n v="265.92"/>
        <n v="6574.92"/>
        <n v="12097.68"/>
        <n v="608.45"/>
        <n v="20610.85"/>
        <n v="7845.59"/>
        <n v="7855.84"/>
        <n v="163.34"/>
        <n v="7995.84"/>
        <n v="15153.53"/>
        <n v="28514.88"/>
        <n v="15289.62"/>
        <n v="9008.62"/>
        <n v="15253.62"/>
        <n v="15261.59"/>
        <n v="115261.59"/>
        <n v="100766.59"/>
        <n v="782.59"/>
        <n v="100788.72"/>
        <n v="90133.72"/>
        <n v="76888.46"/>
        <n v="70683.46"/>
        <n v="57538.2"/>
        <n v="47003.2"/>
        <n v="32994.2"/>
        <n v="333.42"/>
        <n v="40333.42"/>
        <n v="342.22"/>
        <n v="40344.68"/>
        <n v="54887.12"/>
        <n v="14900.72"/>
        <n v="8877.72"/>
        <n v="24157.42"/>
        <n v="13472.42"/>
        <n v="4747.24"/>
        <n v="44749.76"/>
        <n v="51086.76"/>
        <n v="42291.58"/>
        <n v="45090.88"/>
        <n v="63909.82"/>
        <n v="74843.87"/>
        <n v="34849.07"/>
        <n v="38765.06"/>
        <n v="78767.63"/>
        <n v="84716.67"/>
        <n v="73821.67"/>
        <n v="57556.31"/>
        <n v="75432.49"/>
        <n v="47663.32"/>
        <n v="63661.98"/>
        <n v="91584.79"/>
        <n v="73918.97"/>
        <n v="45809.7"/>
        <n v="34944.7"/>
        <n v="52741"/>
        <n v="35095.18"/>
        <n v="46778.48"/>
        <n v="74921"/>
        <n v="60736"/>
        <n v="47490.74"/>
        <n v="65326.98"/>
        <n v="50951.98"/>
        <n v="33326.17"/>
        <n v="51641.77"/>
        <n v="37566.77"/>
        <n v="72710.67"/>
        <n v="59385.4"/>
        <n v="45450.4"/>
        <n v="31695.4"/>
        <n v="18520.4"/>
        <n v="46802.73"/>
        <n v="34097.73"/>
        <n v="71428.76"/>
        <n v="64897.76"/>
        <n v="52202.51"/>
        <n v="52174.52"/>
        <n v="52118.53"/>
        <n v="52090.54"/>
        <n v="58571.54"/>
        <n v="71153.69"/>
        <n v="64706.69"/>
        <n v="53571.69"/>
        <n v="49746.61"/>
        <n v="56215.61"/>
        <n v="67928.88"/>
        <n v="71824.89"/>
        <n v="32412.68"/>
        <n v="72859.61"/>
        <n v="32864.41"/>
        <n v="22865.61"/>
        <n v="8060.31"/>
        <n v="23000.05"/>
        <n v="22944.06"/>
        <n v="15873.92"/>
        <n v="1308.63"/>
        <n v="72713.52"/>
        <n v="72601.55"/>
        <n v="1000"/>
        <n v="1450"/>
        <n v="51448.5"/>
        <n v="30321.53"/>
        <n v="17976.28"/>
        <n v="18020.47"/>
        <n v="4195.19"/>
        <n v="16687.42"/>
        <n v="2327.42"/>
        <n v="8640.94"/>
        <n v="22751.81"/>
        <n v="9206.54"/>
        <n v="385.36"/>
        <n v="14126.32"/>
        <n v="23073.18"/>
        <n v="23053.18"/>
        <n v="23044.18"/>
        <n v="9318.9"/>
        <n v="331"/>
        <n v="361.51"/>
        <n v="9369.11"/>
        <n v="333.93"/>
        <n v="30333.93"/>
        <n v="4005.24"/>
        <n v="30849.49"/>
        <n v="4160.69"/>
        <n v="11031.69"/>
        <n v="20347.17"/>
        <n v="352.37"/>
        <n v="341.37"/>
        <n v="336.37"/>
        <n v="20338.9"/>
        <n v="105765.13"/>
        <n v="92739.87"/>
        <n v="76359.46"/>
        <n v="89501.04"/>
        <n v="73120.63"/>
        <n v="64618.13"/>
        <n v="48437.8"/>
        <n v="87437.8"/>
        <n v="39289.08"/>
        <n v="433.04"/>
        <n v="9053.04"/>
        <n v="25431.23"/>
        <n v="37311.43"/>
        <n v="118526.25"/>
        <n v="8548.25"/>
        <n v="17548.25"/>
        <n v="-33404.51"/>
        <n v="1"/>
        <n v="12616"/>
        <n v="110016.32"/>
        <n v="40016.32"/>
        <n v="-3014"/>
        <n v="9471"/>
        <n v="38313.04"/>
        <n v="12905.17"/>
        <n v="444.17"/>
        <n v="51017.83"/>
        <n v="17209.59"/>
        <n v="33477.92"/>
        <n v="-24744.28"/>
        <n v="12586"/>
        <n v="12323.86"/>
        <n v="25368.86"/>
        <n v="-37834.74"/>
        <n v="-47459.74"/>
        <n v="12056"/>
        <n v="14766"/>
        <n v="26411"/>
        <n v="13126"/>
        <n v="4711.4"/>
        <n v="-12194.18"/>
        <n v="13038"/>
        <n v="-5275.88"/>
        <n v="12076"/>
        <n v="80001"/>
        <n v="109940.3"/>
        <n v="79958.6"/>
        <n v="110003.54"/>
        <n v="80000.2"/>
        <n v="9306"/>
        <n v="17156.66"/>
        <n v="80021.93"/>
        <n v="24938.73"/>
        <n v="59933.8"/>
        <n v="60016.14"/>
        <n v="60035.44"/>
        <n v="19.3"/>
        <n v="82.52"/>
        <n v="16506.45"/>
        <n v="9998.4"/>
        <n v="31001"/>
        <n v="59997.7"/>
        <n v="50002"/>
        <n v="20001.4"/>
        <n v="10001.2"/>
        <n v="10001.88"/>
        <n v="1.88"/>
        <n v="10002.76"/>
        <n v="-50037.5"/>
        <n v="-20015.69"/>
        <n v="-10008.22"/>
        <n v="10726"/>
        <n v="-11114"/>
        <n v="-16901.48"/>
        <n v="17586.8"/>
        <n v="-15029.9"/>
        <n v="10826.18"/>
        <n v="24733.66"/>
        <n v="6"/>
        <n v="60902.7"/>
        <n v="79717.64"/>
        <n v="96794.9"/>
        <n v="86649.9"/>
        <n v="649.04"/>
        <n v="-86030.06"/>
        <n v="5"/>
        <n v="86684.04"/>
        <n v="97689.04"/>
        <n v="688.07"/>
        <n v="-97038.05"/>
        <n v="24943.73"/>
        <n v="-10919.18"/>
        <n v="116.02"/>
        <n v="-21570.7"/>
        <n v="-24686.62"/>
        <n v="24728.66"/>
        <n v="-21311.04"/>
        <n v="100002"/>
        <n v="4.56"/>
        <n v="329.67"/>
        <n v="25148.79"/>
        <n v="7006"/>
        <n v="19121"/>
        <n v="11416"/>
        <n v="19041"/>
        <n v="11426"/>
        <n v="11406"/>
        <n v="-13974"/>
        <n v="-22392.06"/>
        <n v="-19999"/>
        <n v="58894.27"/>
        <n v="706.24"/>
        <n v="21040.25"/>
        <n v="134.57"/>
        <n v="-20287.11"/>
        <n v="20422.68"/>
        <n v="598.54"/>
        <n v="20822.01"/>
        <n v="673.77"/>
        <n v="20600.63"/>
        <n v="126.28"/>
        <n v="526.28"/>
        <n v="20844.45"/>
        <n v="15706"/>
        <n v="-11384.2"/>
        <n v="-16433.9"/>
        <n v="3.18"/>
        <n v="-5012.12"/>
        <n v="112.77"/>
        <n v="15886"/>
        <n v="-16373.92"/>
        <n v="22141.64"/>
        <n v="654.98"/>
        <n v="1217.48"/>
        <n v="-7405.39"/>
        <n v="-2965.39"/>
        <n v="18846"/>
        <n v="4441"/>
        <n v="10226"/>
        <n v="15036"/>
        <n v="71"/>
        <n v="-24609"/>
        <n v="-14894"/>
        <n v="15666"/>
        <n v="11853.87"/>
        <n v="10.47"/>
        <n v="-11871.6"/>
        <n v="-16074"/>
        <n v="15566"/>
        <n v="15636"/>
        <n v="-8731.55"/>
        <n v="15746.34"/>
        <n v="221.34"/>
        <n v="-26702.4"/>
        <n v="-11367.4"/>
        <n v="7207.86"/>
        <n v="-11748.39"/>
        <n v="7475.99"/>
        <n v="0.99"/>
        <n v="9996"/>
        <n v="17501"/>
        <n v="11706"/>
        <n v="-12311.42"/>
        <n v="8197.94"/>
        <n v="-3547.06"/>
        <n v="-9262.06"/>
        <n v="-17667.06"/>
        <n v="-11922.06"/>
        <n v="11108.51"/>
        <n v="-1146.49"/>
        <n v="-7011.49"/>
        <n v="-1126.49"/>
        <n v="-12491.49"/>
        <n v="-10547.79"/>
        <n v="-32724.66"/>
        <n v="-24249.66"/>
        <n v="-30124.66"/>
        <n v="-18181.62"/>
        <n v="-5824"/>
        <n v="-13250.68"/>
        <n v="-18945.68"/>
        <n v="-27350.68"/>
        <n v="-21585.68"/>
        <n v="6051"/>
        <n v="11916"/>
        <n v="20201"/>
        <n v="11846"/>
        <n v="12206"/>
        <n v="-12564"/>
        <n v="-29"/>
        <n v="-12514"/>
        <n v="8816"/>
        <n v="-3669"/>
        <n v="61.75"/>
        <n v="-17363.65"/>
        <n v="-4668.65"/>
        <n v="12626"/>
        <n v="29781.33"/>
        <n v="12576"/>
        <n v="11"/>
        <n v="12446"/>
        <n v="-41395.61"/>
        <n v="-16683.27"/>
        <n v="17026.28"/>
        <n v="11376.23"/>
        <n v="31805.54"/>
        <n v="18680.54"/>
        <n v="324.85"/>
        <n v="299.85"/>
        <n v="298.1"/>
        <n v="284.85"/>
        <n v="-11821.85"/>
        <n v="1353.15"/>
        <n v="13245.99"/>
        <n v="-13634"/>
        <n v="17735.5"/>
        <n v="150.05"/>
        <n v="148.8"/>
        <n v="135.05"/>
        <n v="13466"/>
        <n v="-13614"/>
        <n v="-19373.59"/>
        <n v="17686.48"/>
        <n v="70.03"/>
        <n v="20.03"/>
        <n v="22.83"/>
        <n v="-22180.16"/>
        <n v="13408.8"/>
        <n v="3.8"/>
        <n v="105.23"/>
        <n v="-13452.57"/>
        <n v="102.43"/>
        <n v="18756.81"/>
        <n v="13166"/>
        <n v="-12634"/>
        <n v="43292.26"/>
        <n v="291.83"/>
        <n v="-43113.1"/>
        <n v="43404.93"/>
        <n v="404.5"/>
        <n v="-43010.6"/>
        <n v="18866.85"/>
        <n v="-5048.19"/>
        <n v="13686"/>
        <n v="-12428.8"/>
        <n v="17706.49"/>
        <n v="12013.53"/>
        <n v="13206"/>
        <n v="-12269.5"/>
        <n v="46.5"/>
        <n v="-31747.01"/>
        <n v="-12272.56"/>
        <n v="-31388.48"/>
        <n v="-17813.48"/>
        <n v="22.37"/>
        <n v="13557.37"/>
        <n v="32892.01"/>
        <n v="19407.01"/>
        <n v="16267.23"/>
        <n v="-1198.18"/>
        <n v="12136.82"/>
        <n v="31291.69"/>
        <n v="12946"/>
        <n v="3851.14"/>
        <n v="16586.14"/>
        <n v="-3888.8"/>
        <n v="12866"/>
        <n v="-7992.97"/>
        <n v="4602.63"/>
        <n v="21057.53"/>
        <n v="-20871.62"/>
        <n v="-18654.53"/>
        <n v="31631.67"/>
        <n v="18306.67"/>
        <n v="-18724.44"/>
        <n v="12746"/>
        <n v="18036.59"/>
        <n v="22177.87"/>
        <n v="-22529.45"/>
        <n v="10306"/>
        <n v="-7103.09"/>
        <n v="-6094"/>
        <n v="-309"/>
        <n v="-12074"/>
        <n v="-11914"/>
        <n v="15076"/>
        <n v="3171"/>
        <n v="1001"/>
        <n v="-12094"/>
        <n v="-15514"/>
        <n v="32001"/>
        <n v="32004.53"/>
        <n v="-18061.77"/>
        <n v="4.53"/>
        <n v="4004.53"/>
        <n v="4167.77"/>
        <n v="-11891.32"/>
        <n v="-15891.32"/>
        <n v="-11550.76"/>
        <n v="164.24"/>
        <n v="104.24"/>
        <n v="17096.3"/>
        <n v="75138.09"/>
        <n v="44368.55"/>
        <n v="368.11"/>
        <n v="-44064.53"/>
        <n v="-31269.3"/>
        <n v="17156.32"/>
        <n v="-5706.76"/>
        <n v="11251"/>
        <n v="31890.88"/>
        <n v="-14254.1"/>
        <n v="16896.24"/>
        <n v="-5061.72"/>
        <n v="11926"/>
        <n v="-1117.38"/>
        <n v="15346"/>
        <n v="15331.56"/>
        <n v="-33.44"/>
        <n v="15505.99"/>
        <n v="-15573.23"/>
        <n v="15506"/>
        <n v="39526"/>
        <n v="23791"/>
        <n v="4001"/>
        <n v="-21853.03"/>
        <n v="-11898.03"/>
        <n v="16.97"/>
        <n v="-15878.03"/>
        <n v="-30443.03"/>
        <n v="-14494"/>
        <n v="39534.39"/>
        <n v="24909.39"/>
        <n v="8766.39"/>
        <n v="709.39"/>
        <n v="7209.39"/>
        <n v="17209.39"/>
        <n v="959.39"/>
        <n v="17367.87"/>
        <n v="30442.87"/>
        <n v="16681.87"/>
        <n v="336.8"/>
        <n v="30287.51"/>
        <n v="78943.69"/>
        <n v="62838.69"/>
        <n v="48153.69"/>
        <n v="67.83"/>
        <n v="10986.78"/>
        <n v="-19597.76"/>
        <n v="-3409"/>
        <n v="11306"/>
        <n v="-62203.27"/>
        <n v="-22080.9"/>
        <n v="24087.62"/>
        <n v="-8162.37"/>
        <n v="2796.65"/>
        <n v="-21450.86"/>
        <n v="-23291.76"/>
        <n v="61"/>
        <n v="-30798.6"/>
        <n v="1.01"/>
        <n v="10986"/>
        <n v="10066"/>
        <n v="24881.47"/>
        <n v="15156.47"/>
        <n v="32791"/>
        <n v="19306"/>
        <n v="9296"/>
        <n v="35649.46"/>
        <n v="23304.46"/>
        <n v="14279.46"/>
        <n v="4194.46"/>
        <n v="17636"/>
        <n v="26791"/>
        <n v="13366"/>
        <n v="-7940.79"/>
        <n v="-21085.79"/>
        <n v="-8850.79"/>
        <n v="4071.27"/>
        <n v="13286.27"/>
        <n v="8646"/>
        <n v="40001"/>
        <n v="4179.04"/>
        <n v="13394.04"/>
        <n v="49466"/>
        <n v="9466"/>
        <n v="24981"/>
        <n v="11726"/>
        <n v="1602.88"/>
        <n v="-22300.62"/>
        <n v="-27385.62"/>
        <n v="-13694.33"/>
        <n v="-53.26"/>
        <n v="-13698.26"/>
        <n v="13546.01"/>
        <n v="6301"/>
        <n v="11746"/>
        <n v="20180.83"/>
        <n v="30755.83"/>
        <n v="19620.63"/>
        <n v="8855.63"/>
        <n v="20479.01"/>
        <n v="11353.41"/>
        <n v="-171.59"/>
        <n v="28790.42"/>
        <n v="13965.42"/>
        <n v="2140.42"/>
        <n v="-29332.79"/>
        <n v="-14403.79"/>
        <n v="-4008.79"/>
        <n v="-14553.79"/>
        <n v="-25638.79"/>
        <n v="-36783.79"/>
        <n v="-30668.79"/>
        <n v="-15479"/>
        <n v="-3384"/>
        <n v="7551"/>
        <n v="11556"/>
        <n v="771"/>
        <n v="-10994"/>
        <n v="-39800.02"/>
        <n v="-28565.02"/>
        <n v="-16570.02"/>
        <n v="-6145.45"/>
        <n v="5278.11"/>
        <n v="27511.22"/>
        <n v="3223.69"/>
        <n v="10886.01"/>
        <n v="30"/>
        <n v="-9864"/>
        <n v="2631"/>
        <n v="-8874"/>
        <n v="3601"/>
        <n v="-11534"/>
        <n v="-18963.38"/>
        <n v="-3369"/>
        <n v="7766"/>
        <n v="6.74"/>
        <n v="407.71"/>
        <n v="2114.06"/>
        <n v="-8045.94"/>
        <n v="100001"/>
        <n v="7106"/>
        <n v="-7694"/>
        <n v="7266"/>
        <n v="-7794"/>
        <n v="9756"/>
        <n v="160001"/>
        <n v="190479.19"/>
        <n v="598.89"/>
        <n v="190618.53"/>
        <n v="30618.53"/>
        <n v="9456"/>
        <n v="17551"/>
        <n v="9746"/>
        <n v="3613.53"/>
        <n v="13968.53"/>
        <n v="117.53"/>
        <n v="-8060.92"/>
        <n v="5156"/>
        <n v="3024.45"/>
        <n v="37.45"/>
        <n v="42.77"/>
        <n v="221.41"/>
        <n v="5252.1"/>
        <n v="111.1"/>
        <n v="401.1"/>
        <n v="6462.03"/>
        <n v="24.23"/>
        <n v="6404.23"/>
        <n v="279.23"/>
        <n v="-6007.98"/>
        <n v="6001"/>
        <n v="1.28"/>
        <n v="6.27"/>
        <n v="9.27"/>
        <n v="8.67"/>
        <n v="8.68"/>
        <n v="10.04"/>
        <n v="2010.04"/>
        <n v="30.04"/>
        <n v="30.05"/>
        <n v="31.32"/>
        <n v="-4744.24"/>
        <n v="3000"/>
        <n v="5063"/>
        <n v="0.03"/>
        <n v="11.72"/>
        <n v="111.72"/>
        <n v="111.81"/>
        <n v="116.81"/>
        <n v="115.81"/>
        <n v="250447.86"/>
        <n v="28359.79"/>
        <n v="222001"/>
        <n v="3.79"/>
        <n v="38.16"/>
        <n v="312.68"/>
        <n v="31446.96"/>
        <n v="22180.5"/>
        <n v="20312.68"/>
        <n v="24312.68"/>
        <n v="42180.5"/>
        <n v="20641.86"/>
        <n v="20641.85"/>
        <n v="746.8"/>
        <n v="746.79"/>
        <n v="746.77"/>
        <n v="19267.17"/>
        <n v="20746.77"/>
        <n v="19267.16"/>
        <n v="19267.13"/>
        <n v="545.5"/>
        <n v="545.49"/>
        <n v="545.47"/>
        <n v="24296.09"/>
        <n v="20545.47"/>
        <n v="20595.47"/>
        <n v="24296.07"/>
        <n v="24298.54"/>
        <n v="24298.52"/>
        <n v="24300.56"/>
        <n v="633.83"/>
        <n v="633.77"/>
        <n v="633.75"/>
        <n v="633.73"/>
        <n v="633.7"/>
        <n v="633.67"/>
        <n v="633.59"/>
        <n v="633.56"/>
        <n v="633.53"/>
        <n v="633.5"/>
        <n v="633.47"/>
        <n v="633.36"/>
        <n v="633.33"/>
        <n v="633.3"/>
        <n v="633.16"/>
        <n v="633.13"/>
        <n v="633.1"/>
        <n v="633.07"/>
        <n v="632.99"/>
        <n v="632.96"/>
        <n v="632.93"/>
        <n v="632.9"/>
        <n v="632.87"/>
        <n v="632.79"/>
        <n v="632.76"/>
        <n v="632.73"/>
        <n v="632.53"/>
        <n v="632.5"/>
        <n v="632.47"/>
        <n v="632.39"/>
        <n v="632.36"/>
        <n v="632.33"/>
        <n v="24.33"/>
        <n v="1632.33"/>
        <n v="24.3"/>
        <n v="24.27"/>
        <n v="24.19"/>
        <n v="24.16"/>
        <n v="-946.45"/>
        <n v="-2638.95"/>
        <n v="4.97"/>
        <n v="4.94"/>
        <n v="4.98"/>
        <n v="34.91"/>
        <n v="2667.91"/>
        <n v="34.88"/>
        <n v="41.68"/>
        <n v="3034.88"/>
        <n v="41.65"/>
        <n v="-6022.5"/>
        <n v="4.92"/>
        <n v="27.59"/>
        <n v="6068.89"/>
        <n v="27.56"/>
        <n v="27.53"/>
        <n v="27.5"/>
        <n v="19027.5"/>
        <n v="20027.5"/>
        <n v="20027.47"/>
        <n v="18681.14"/>
        <n v="18681.09"/>
        <n v="-7810.2"/>
        <n v="1804.97"/>
        <n v="7.09"/>
        <n v="5468.09"/>
        <n v="7.06"/>
        <n v="-5554"/>
        <n v="-12275"/>
        <n v="9.13"/>
        <n v="3961.13"/>
        <n v="3961.1"/>
        <n v="18288.8"/>
        <n v="18288.66"/>
        <n v="18288.63"/>
        <n v="19031.4"/>
        <n v="19031.37"/>
        <n v="19031.34"/>
        <n v="562"/>
        <n v="561.97"/>
        <n v="561.89"/>
        <n v="561.86"/>
        <n v="561.83"/>
        <n v="561.8"/>
        <n v="561.77"/>
        <n v="561.69"/>
        <n v="561.66"/>
        <n v="561.63"/>
        <n v="561.6"/>
        <n v="-3687.22"/>
        <n v="1085.89"/>
        <n v="1085.86"/>
        <n v="5158.39"/>
        <n v="23941.36"/>
        <n v="5221.61"/>
        <n v="5221.58"/>
        <n v="4.96"/>
        <n v="12679.26"/>
        <n v="12679.23"/>
        <n v="12658"/>
        <n v="430"/>
        <n v="429.97"/>
        <n v="429.94"/>
        <n v="429.86"/>
        <n v="429.83"/>
        <n v="20429.83"/>
        <n v="18977.49"/>
        <n v="18977.46"/>
        <n v="18977.43"/>
        <n v="556.06"/>
        <n v="556.03"/>
        <n v="555.92"/>
        <n v="555.88"/>
        <n v="555.84"/>
        <n v="555.8"/>
        <n v="555.76"/>
        <n v="555.65"/>
        <n v="555.61"/>
        <n v="555.58"/>
        <n v="555.55"/>
        <n v="558.38"/>
        <n v="558.35"/>
        <n v="558.25"/>
        <n v="587.71"/>
        <n v="587.68"/>
        <n v="30587.68"/>
        <n v="28742.64"/>
        <n v="28742.6"/>
        <n v="28742.56"/>
        <n v="840.74"/>
        <n v="840.71"/>
        <n v="840.6"/>
        <n v="840.56"/>
        <n v="840.52"/>
        <n v="840.21"/>
        <n v="840.11"/>
        <n v="840.08"/>
        <n v="27246.47"/>
        <n v="28840.08"/>
        <n v="27246.5"/>
        <n v="27246.44"/>
        <n v="793.63"/>
        <n v="793.6"/>
        <n v="4.87"/>
        <n v="3795.77"/>
        <n v="4500"/>
        <n v="4.83"/>
        <n v="3029"/>
        <n v="3028.87"/>
        <n v="0.87"/>
        <n v="25819.52"/>
        <n v="4.95"/>
        <n v="-3162.76"/>
        <n v="371.57"/>
        <n v="-7876.04"/>
        <n v="371.7"/>
        <n v="371.53"/>
        <n v="371.49"/>
        <n v="371.44"/>
        <n v="7940.95"/>
        <n v="7941"/>
        <n v="4.85"/>
        <n v="8313.96"/>
        <n v="8314"/>
        <n v="8255.03"/>
        <n v="13270"/>
        <n v="6.76"/>
        <n v="6.8"/>
        <n v="6.63"/>
        <n v="25.49"/>
        <n v="25.53"/>
        <n v="25.45"/>
        <n v="25.41"/>
        <n v="25.24"/>
        <n v="25.2"/>
        <n v="25.16"/>
        <n v="25.12"/>
        <n v="24.95"/>
        <n v="24.91"/>
        <n v="24.87"/>
        <n v="24.83"/>
        <n v="24.78"/>
        <n v="24.63"/>
        <n v="24.58"/>
        <n v="24.53"/>
        <n v="24.48"/>
        <n v="24.43"/>
        <n v="24.28"/>
        <n v="24.18"/>
        <n v="24.13"/>
        <n v="24.08"/>
        <n v="23.93"/>
        <n v="23.88"/>
        <n v="23.83"/>
        <n v="23.78"/>
        <n v="23.73"/>
        <n v="23.58"/>
        <n v="23.53"/>
        <n v="23.48"/>
        <n v="23.43"/>
        <n v="23.38"/>
        <n v="23.23"/>
        <n v="23.18"/>
        <n v="23.13"/>
        <n v="25023.13"/>
        <n v="19217.02"/>
        <n v="19216.62"/>
        <n v="19216.57"/>
        <n v="559.4"/>
        <n v="559.25"/>
        <n v="559.19"/>
        <n v="559.13"/>
        <n v="559.07"/>
        <n v="559.01"/>
        <n v="558.83"/>
        <n v="558.77"/>
        <n v="558.71"/>
        <n v="558.65"/>
        <n v="558.59"/>
        <n v="558.41"/>
        <n v="558.29"/>
        <n v="558.23"/>
        <n v="558.17"/>
        <n v="557.99"/>
        <n v="557.93"/>
        <n v="557.87"/>
        <n v="557.81"/>
        <n v="565.88"/>
        <n v="565.73"/>
        <n v="565.67"/>
        <n v="565.62"/>
        <n v="565.57"/>
        <n v="565.52"/>
        <n v="565.37"/>
        <n v="565.31"/>
        <n v="565.25"/>
        <n v="565.19"/>
        <n v="564.83"/>
        <n v="564.77"/>
        <n v="564.71"/>
        <n v="564.53"/>
        <n v="564.47"/>
        <n v="564.41"/>
        <n v="564.35"/>
        <n v="-13995.33"/>
        <n v="4.82"/>
        <n v="-14645.33"/>
        <n v="-16135.94"/>
        <n v="4.7"/>
        <n v="4.9"/>
        <n v="16474.33"/>
        <n v="-17108.52"/>
        <n v="13730"/>
        <n v="4.8"/>
        <n v="5.68"/>
        <n v="5.73"/>
        <n v="-14175.8"/>
        <n v="141.58"/>
        <n v="141.53"/>
        <n v="12770"/>
        <n v="-14095.88"/>
        <n v="5621"/>
        <n v="5620.95"/>
        <n v="59161.53"/>
        <n v="-10344"/>
        <n v="-37"/>
        <n v="10322"/>
        <n v="10321.95"/>
        <n v="20587"/>
        <n v="10270"/>
        <n v="-59317.13"/>
        <n v="13180"/>
        <n v="70.95"/>
        <n v="70.9"/>
        <n v="70.85"/>
        <n v="70.7"/>
        <n v="12070.24"/>
        <n v="12070.2"/>
        <n v="30175.24"/>
        <n v="30175.2"/>
        <n v="24015.48"/>
        <n v="11950.24"/>
        <n v="11950.11"/>
        <n v="24112.69"/>
        <n v="12047.45"/>
        <n v="12047.41"/>
        <n v="23775.48"/>
        <n v="11830.24"/>
        <n v="11830.2"/>
        <n v="23830.2"/>
        <n v="31735.64"/>
        <n v="4.88"/>
        <n v="12047.66"/>
        <n v="102.42"/>
        <n v="102.38"/>
        <n v="-12007.97"/>
        <n v="11783.44"/>
        <n v="11783.32"/>
        <n v="11770.12"/>
        <n v="-92.46"/>
        <n v="12612.64"/>
        <n v="12612.6"/>
        <n v="-92.34"/>
        <n v="11950.2"/>
        <n v="12070.12"/>
        <n v="24352.57"/>
        <n v="12167.33"/>
        <n v="12167.29"/>
        <n v="12167.25"/>
        <n v="35660.71"/>
        <n v="23625.47"/>
        <n v="11740.23"/>
        <n v="11740.19"/>
        <n v="11740.1"/>
        <n v="-152.46"/>
        <n v="11890.24"/>
        <n v="11890.2"/>
        <n v="-122.34"/>
        <n v="-37.34"/>
        <n v="12125.24"/>
        <n v="12125.2"/>
        <n v="-122.18"/>
        <n v="12190.24"/>
        <n v="12190.2"/>
        <n v="17037.47"/>
        <n v="25343.98"/>
        <n v="25343.86"/>
        <n v="25343.82"/>
        <n v="39489.3"/>
        <n v="24964.3"/>
        <n v="-853.85"/>
        <n v="12190.19"/>
        <n v="12190.09"/>
        <n v="-3269.28"/>
        <n v="25055"/>
        <n v="8270"/>
        <n v="8269.85"/>
        <n v="-115"/>
        <n v="8400"/>
        <n v="8399.95"/>
        <n v="16665"/>
        <n v="8269.95"/>
        <n v="16415"/>
        <n v="8150"/>
        <n v="8149.95"/>
        <n v="8155.53"/>
        <n v="-109.42"/>
        <n v="8265.58"/>
        <n v="8265.53"/>
        <n v="8412.39"/>
        <n v="31.86"/>
        <n v="8536.86"/>
        <n v="8536.56"/>
        <n v="8536.51"/>
        <n v="8536.36"/>
        <n v="8536.31"/>
        <n v="8536.26"/>
        <n v="8536.21"/>
        <n v="15448.21"/>
        <n v="15447.81"/>
        <n v="3447.81"/>
        <n v="8390"/>
        <n v="8389.85"/>
        <n v="24780"/>
        <n v="16395"/>
        <n v="8140"/>
        <n v="8139.95"/>
        <n v="8250"/>
        <n v="8249.95"/>
        <n v="-125"/>
        <n v="8370"/>
        <n v="8369.9"/>
        <n v="8369.85"/>
        <n v="8369.95"/>
        <n v="8560"/>
        <n v="8559.95"/>
        <n v="38176.97"/>
        <n v="29621.97"/>
        <n v="29621.92"/>
        <n v="20708.28"/>
        <n v="20708.24"/>
        <n v="12163.28"/>
        <n v="20848.28"/>
        <n v="8559.96"/>
        <n v="8559.85"/>
        <n v="17215"/>
        <n v="17214.95"/>
        <n v="8620"/>
        <n v="8749.95"/>
        <n v="8749.9"/>
        <n v="8749.85"/>
        <n v="33749.85"/>
        <n v="21444.6"/>
        <n v="21444.45"/>
        <n v="32720.48"/>
        <n v="20565.24"/>
        <n v="20565.19"/>
        <n v="29210.24"/>
        <n v="-252.21"/>
        <n v="8572.79"/>
        <n v="20855.24"/>
        <n v="20855.19"/>
        <n v="45060.24"/>
        <n v="20855.09"/>
        <n v="33287.38"/>
        <n v="20982.13"/>
        <n v="20982.08"/>
        <n v="20982.03"/>
        <n v="20981.98"/>
        <n v="15981.98"/>
        <n v="8572.95"/>
        <n v="21005.25"/>
        <n v="21005.2"/>
        <n v="21005.1"/>
        <n v="20805.1"/>
        <n v="-2716"/>
        <n v="21005.24"/>
        <n v="21005.19"/>
        <n v="20505.2"/>
        <n v="33130.49"/>
        <n v="20855.25"/>
        <n v="20855.2"/>
        <n v="32680.48"/>
        <n v="20615.24"/>
        <n v="20615.09"/>
        <n v="32807.64"/>
        <n v="20682.4"/>
        <n v="20682.36"/>
        <n v="-3679.56"/>
        <n v="8572.92"/>
        <n v="20975.25"/>
        <n v="20975.21"/>
        <n v="29530.25"/>
        <n v="20835.25"/>
        <n v="20835.1"/>
        <n v="29250.25"/>
        <n v="20695.25"/>
        <n v="20695.2"/>
        <n v="20195.2"/>
        <n v="19695.2"/>
        <n v="12150.25"/>
        <n v="20835.2"/>
        <n v="15636.25"/>
        <n v="24451.25"/>
        <n v="24451.2"/>
        <n v="4451.2"/>
        <n v="34451.2"/>
        <n v="30005"/>
        <n v="16.71"/>
        <n v="23630.76"/>
        <n v="11725.76"/>
        <n v="11725.61"/>
        <n v="11725.57"/>
        <n v="14618"/>
        <n v="14783"/>
        <n v="11879"/>
        <n v="11878.96"/>
        <n v="11878.92"/>
        <n v="14782.92"/>
        <n v="3073.92"/>
        <n v="3073.87"/>
        <n v="4.75"/>
        <n v="1790"/>
        <n v="-3086.9"/>
        <n v="4.51"/>
        <n v="5.69"/>
        <n v="5.53"/>
        <n v="19.82"/>
        <n v="19.87"/>
        <n v="19.77"/>
        <n v="19.72"/>
        <n v="19.67"/>
        <n v="19.52"/>
        <n v="19.47"/>
        <n v="19.42"/>
        <n v="19.37"/>
        <n v="19.32"/>
        <n v="19.08"/>
        <n v="19.03"/>
        <n v="18.98"/>
        <n v="18.83"/>
        <n v="18.78"/>
        <n v="18.73"/>
        <n v="18.68"/>
        <n v="18.43"/>
        <n v="18.38"/>
        <n v="18.33"/>
        <n v="18.28"/>
        <n v="18.13"/>
        <n v="18.08"/>
        <n v="18.03"/>
        <n v="17.98"/>
        <n v="17.93"/>
        <n v="17.62"/>
        <n v="17.57"/>
        <n v="17.36"/>
        <n v="17.31"/>
        <n v="17.26"/>
        <n v="17.21"/>
        <n v="17.05"/>
        <n v="17"/>
        <n v="16.95"/>
        <n v="16.9"/>
        <n v="16.85"/>
        <n v="16.7"/>
        <n v="16.65"/>
        <n v="16.6"/>
        <n v="16.55"/>
        <n v="16.5"/>
        <n v="16.35"/>
        <n v="16.3"/>
        <n v="16.25"/>
        <n v="16.2"/>
        <n v="16"/>
        <n v="15.95"/>
        <n v="15.9"/>
        <n v="15.85"/>
        <n v="15.8"/>
        <n v="15.65"/>
        <n v="15.6"/>
        <n v="15.55"/>
        <n v="15.5"/>
        <n v="26015.5"/>
        <n v="30035"/>
        <n v="5.01"/>
        <n v="-31112.19"/>
        <n v="21.5"/>
        <n v="21.54"/>
        <n v="30021.5"/>
        <n v="21.46"/>
        <n v="13396.96"/>
        <n v="13397"/>
        <n v="47334.46"/>
        <n v="1879.53"/>
        <m/>
      </sharedItems>
    </cacheField>
    <cacheField name="当前持仓" numFmtId="0">
      <sharedItems containsString="0" containsBlank="1" containsNumber="1" containsInteger="1" minValue="0" maxValue="197457" count="159">
        <n v="0"/>
        <n v="300"/>
        <n v="400"/>
        <n v="500"/>
        <n v="600"/>
        <n v="700"/>
        <n v="1300"/>
        <n v="800"/>
        <n v="1800"/>
        <n v="2100"/>
        <n v="2200"/>
        <n v="1000"/>
        <n v="2700"/>
        <n v="3700"/>
        <n v="3200"/>
        <n v="2900"/>
        <n v="2800"/>
        <n v="3300"/>
        <n v="1500"/>
        <n v="2000"/>
        <n v="3000"/>
        <n v="2500"/>
        <n v="3100"/>
        <n v="100"/>
        <n v="180"/>
        <n v="120"/>
        <n v="1900"/>
        <n v="3800"/>
        <n v="200"/>
        <n v="30"/>
        <n v="3500"/>
        <n v="4000"/>
        <n v="9600"/>
        <n v="13100"/>
        <n v="5000"/>
        <n v="10000"/>
        <n v="23100"/>
        <n v="7500"/>
        <n v="4500"/>
        <n v="2300"/>
        <n v="4900"/>
        <n v="708"/>
        <n v="354"/>
        <n v="23454"/>
        <n v="37654"/>
        <n v="97354"/>
        <n v="47354"/>
        <n v="45161"/>
        <n v="1"/>
        <n v="46034"/>
        <n v="22580"/>
        <n v="71634"/>
        <n v="111634"/>
        <n v="1121"/>
        <n v="1120"/>
        <n v="40000"/>
        <n v="2400"/>
        <n v="1737"/>
        <n v="3219"/>
        <n v="52400"/>
        <n v="92300"/>
        <n v="7000"/>
        <n v="9000"/>
        <n v="92400"/>
        <n v="102400"/>
        <n v="11000"/>
        <n v="32400"/>
        <n v="4400"/>
        <n v="6400"/>
        <n v="10400"/>
        <n v="8400"/>
        <n v="30000"/>
        <n v="60000"/>
        <n v="6000"/>
        <n v="8000"/>
        <n v="20000"/>
        <n v="152900"/>
        <n v="197457"/>
        <n v="110560"/>
        <n v="44557"/>
        <n v="22000"/>
        <n v="3285"/>
        <n v="9871"/>
        <n v="19871"/>
        <n v="2082"/>
        <n v="8500"/>
        <n v="5800"/>
        <n v="7800"/>
        <n v="3600"/>
        <n v="12800"/>
        <n v="6500"/>
        <n v="12000"/>
        <n v="14000"/>
        <n v="11250"/>
        <n v="14150"/>
        <n v="4700"/>
        <n v="14250"/>
        <n v="13000"/>
        <n v="37400"/>
        <n v="68600"/>
        <n v="1100"/>
        <n v="1200"/>
        <n v="8700"/>
        <n v="3400"/>
        <n v="2121"/>
        <n v="9400"/>
        <n v="12400"/>
        <n v="19400"/>
        <n v="22400"/>
        <n v="22100"/>
        <n v="22200"/>
        <n v="26100"/>
        <n v="6100"/>
        <n v="25200"/>
        <n v="9800"/>
        <n v="6250"/>
        <n v="3250"/>
        <n v="24700"/>
        <n v="10"/>
        <n v="58500"/>
        <n v="2176"/>
        <n v="23300"/>
        <n v="11500"/>
        <n v="23700"/>
        <n v="36200"/>
        <n v="56200"/>
        <n v="80000"/>
        <n v="26700"/>
        <n v="29000"/>
        <n v="16000"/>
        <n v="30200"/>
        <n v="13600"/>
        <n v="4271"/>
        <n v="1388"/>
        <n v="3246"/>
        <n v="1393"/>
        <n v="2503"/>
        <n v="1421"/>
        <n v="6200"/>
        <n v="18000"/>
        <n v="26000"/>
        <n v="12700"/>
        <n v="5700"/>
        <n v="32000"/>
        <n v="7246"/>
        <n v="38000"/>
        <n v="4241"/>
        <n v="4877"/>
        <n v="1700"/>
        <n v="44000"/>
        <n v="54000"/>
        <n v="64000"/>
        <n v="1600"/>
        <n v="11600"/>
        <n v="7600"/>
        <n v="6700"/>
        <n v="28000"/>
        <n v="10800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08">
  <r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0"/>
    <x v="0"/>
    <x v="1"/>
    <x v="1"/>
    <x v="0"/>
  </r>
  <r>
    <x v="2"/>
    <x v="2"/>
    <x v="2"/>
    <x v="2"/>
    <x v="2"/>
    <x v="1"/>
    <x v="1"/>
    <x v="1"/>
    <x v="2"/>
    <x v="2"/>
    <x v="1"/>
  </r>
  <r>
    <x v="3"/>
    <x v="3"/>
    <x v="3"/>
    <x v="2"/>
    <x v="2"/>
    <x v="2"/>
    <x v="1"/>
    <x v="2"/>
    <x v="3"/>
    <x v="3"/>
    <x v="0"/>
  </r>
  <r>
    <x v="4"/>
    <x v="4"/>
    <x v="4"/>
    <x v="1"/>
    <x v="1"/>
    <x v="0"/>
    <x v="0"/>
    <x v="0"/>
    <x v="4"/>
    <x v="4"/>
    <x v="0"/>
  </r>
  <r>
    <x v="5"/>
    <x v="5"/>
    <x v="1"/>
    <x v="1"/>
    <x v="1"/>
    <x v="0"/>
    <x v="0"/>
    <x v="0"/>
    <x v="5"/>
    <x v="1"/>
    <x v="0"/>
  </r>
  <r>
    <x v="6"/>
    <x v="6"/>
    <x v="2"/>
    <x v="2"/>
    <x v="2"/>
    <x v="3"/>
    <x v="1"/>
    <x v="3"/>
    <x v="6"/>
    <x v="5"/>
    <x v="1"/>
  </r>
  <r>
    <x v="7"/>
    <x v="7"/>
    <x v="3"/>
    <x v="2"/>
    <x v="2"/>
    <x v="4"/>
    <x v="1"/>
    <x v="4"/>
    <x v="7"/>
    <x v="6"/>
    <x v="0"/>
  </r>
  <r>
    <x v="7"/>
    <x v="7"/>
    <x v="2"/>
    <x v="3"/>
    <x v="3"/>
    <x v="5"/>
    <x v="2"/>
    <x v="5"/>
    <x v="8"/>
    <x v="7"/>
    <x v="2"/>
  </r>
  <r>
    <x v="8"/>
    <x v="8"/>
    <x v="3"/>
    <x v="3"/>
    <x v="3"/>
    <x v="6"/>
    <x v="2"/>
    <x v="6"/>
    <x v="9"/>
    <x v="8"/>
    <x v="0"/>
  </r>
  <r>
    <x v="9"/>
    <x v="9"/>
    <x v="2"/>
    <x v="3"/>
    <x v="3"/>
    <x v="5"/>
    <x v="2"/>
    <x v="5"/>
    <x v="8"/>
    <x v="9"/>
    <x v="2"/>
  </r>
  <r>
    <x v="10"/>
    <x v="10"/>
    <x v="3"/>
    <x v="3"/>
    <x v="3"/>
    <x v="7"/>
    <x v="2"/>
    <x v="7"/>
    <x v="10"/>
    <x v="10"/>
    <x v="0"/>
  </r>
  <r>
    <x v="11"/>
    <x v="11"/>
    <x v="2"/>
    <x v="4"/>
    <x v="4"/>
    <x v="8"/>
    <x v="3"/>
    <x v="8"/>
    <x v="11"/>
    <x v="11"/>
    <x v="3"/>
  </r>
  <r>
    <x v="12"/>
    <x v="12"/>
    <x v="5"/>
    <x v="1"/>
    <x v="1"/>
    <x v="0"/>
    <x v="0"/>
    <x v="0"/>
    <x v="12"/>
    <x v="12"/>
    <x v="0"/>
  </r>
  <r>
    <x v="13"/>
    <x v="13"/>
    <x v="4"/>
    <x v="1"/>
    <x v="1"/>
    <x v="0"/>
    <x v="0"/>
    <x v="0"/>
    <x v="13"/>
    <x v="13"/>
    <x v="0"/>
  </r>
  <r>
    <x v="13"/>
    <x v="13"/>
    <x v="3"/>
    <x v="4"/>
    <x v="4"/>
    <x v="9"/>
    <x v="3"/>
    <x v="9"/>
    <x v="14"/>
    <x v="14"/>
    <x v="0"/>
  </r>
  <r>
    <x v="14"/>
    <x v="14"/>
    <x v="4"/>
    <x v="1"/>
    <x v="1"/>
    <x v="0"/>
    <x v="0"/>
    <x v="0"/>
    <x v="4"/>
    <x v="15"/>
    <x v="0"/>
  </r>
  <r>
    <x v="14"/>
    <x v="14"/>
    <x v="4"/>
    <x v="1"/>
    <x v="1"/>
    <x v="0"/>
    <x v="0"/>
    <x v="0"/>
    <x v="15"/>
    <x v="16"/>
    <x v="0"/>
  </r>
  <r>
    <x v="15"/>
    <x v="15"/>
    <x v="1"/>
    <x v="1"/>
    <x v="1"/>
    <x v="0"/>
    <x v="0"/>
    <x v="0"/>
    <x v="16"/>
    <x v="17"/>
    <x v="0"/>
  </r>
  <r>
    <x v="16"/>
    <x v="16"/>
    <x v="2"/>
    <x v="3"/>
    <x v="3"/>
    <x v="10"/>
    <x v="2"/>
    <x v="10"/>
    <x v="17"/>
    <x v="18"/>
    <x v="2"/>
  </r>
  <r>
    <x v="17"/>
    <x v="17"/>
    <x v="3"/>
    <x v="3"/>
    <x v="3"/>
    <x v="11"/>
    <x v="2"/>
    <x v="11"/>
    <x v="18"/>
    <x v="19"/>
    <x v="0"/>
  </r>
  <r>
    <x v="18"/>
    <x v="18"/>
    <x v="4"/>
    <x v="1"/>
    <x v="1"/>
    <x v="0"/>
    <x v="0"/>
    <x v="0"/>
    <x v="19"/>
    <x v="20"/>
    <x v="0"/>
  </r>
  <r>
    <x v="19"/>
    <x v="19"/>
    <x v="1"/>
    <x v="1"/>
    <x v="1"/>
    <x v="0"/>
    <x v="0"/>
    <x v="0"/>
    <x v="20"/>
    <x v="21"/>
    <x v="0"/>
  </r>
  <r>
    <x v="20"/>
    <x v="20"/>
    <x v="4"/>
    <x v="1"/>
    <x v="1"/>
    <x v="0"/>
    <x v="0"/>
    <x v="0"/>
    <x v="21"/>
    <x v="0"/>
    <x v="0"/>
  </r>
  <r>
    <x v="21"/>
    <x v="21"/>
    <x v="1"/>
    <x v="1"/>
    <x v="1"/>
    <x v="0"/>
    <x v="0"/>
    <x v="0"/>
    <x v="22"/>
    <x v="22"/>
    <x v="0"/>
  </r>
  <r>
    <x v="21"/>
    <x v="21"/>
    <x v="2"/>
    <x v="4"/>
    <x v="4"/>
    <x v="12"/>
    <x v="4"/>
    <x v="12"/>
    <x v="23"/>
    <x v="23"/>
    <x v="4"/>
  </r>
  <r>
    <x v="22"/>
    <x v="22"/>
    <x v="5"/>
    <x v="1"/>
    <x v="1"/>
    <x v="0"/>
    <x v="0"/>
    <x v="0"/>
    <x v="24"/>
    <x v="24"/>
    <x v="0"/>
  </r>
  <r>
    <x v="23"/>
    <x v="23"/>
    <x v="4"/>
    <x v="1"/>
    <x v="1"/>
    <x v="0"/>
    <x v="0"/>
    <x v="0"/>
    <x v="15"/>
    <x v="25"/>
    <x v="0"/>
  </r>
  <r>
    <x v="24"/>
    <x v="24"/>
    <x v="3"/>
    <x v="4"/>
    <x v="4"/>
    <x v="13"/>
    <x v="4"/>
    <x v="13"/>
    <x v="25"/>
    <x v="26"/>
    <x v="0"/>
  </r>
  <r>
    <x v="25"/>
    <x v="25"/>
    <x v="2"/>
    <x v="5"/>
    <x v="5"/>
    <x v="14"/>
    <x v="4"/>
    <x v="14"/>
    <x v="26"/>
    <x v="27"/>
    <x v="4"/>
  </r>
  <r>
    <x v="26"/>
    <x v="26"/>
    <x v="3"/>
    <x v="5"/>
    <x v="5"/>
    <x v="15"/>
    <x v="4"/>
    <x v="15"/>
    <x v="27"/>
    <x v="28"/>
    <x v="0"/>
  </r>
  <r>
    <x v="27"/>
    <x v="27"/>
    <x v="2"/>
    <x v="6"/>
    <x v="6"/>
    <x v="16"/>
    <x v="5"/>
    <x v="16"/>
    <x v="28"/>
    <x v="29"/>
    <x v="5"/>
  </r>
  <r>
    <x v="28"/>
    <x v="28"/>
    <x v="5"/>
    <x v="1"/>
    <x v="1"/>
    <x v="0"/>
    <x v="0"/>
    <x v="0"/>
    <x v="29"/>
    <x v="30"/>
    <x v="0"/>
  </r>
  <r>
    <x v="29"/>
    <x v="29"/>
    <x v="6"/>
    <x v="6"/>
    <x v="6"/>
    <x v="0"/>
    <x v="5"/>
    <x v="17"/>
    <x v="30"/>
    <x v="31"/>
    <x v="0"/>
  </r>
  <r>
    <x v="30"/>
    <x v="30"/>
    <x v="4"/>
    <x v="1"/>
    <x v="1"/>
    <x v="0"/>
    <x v="0"/>
    <x v="0"/>
    <x v="15"/>
    <x v="32"/>
    <x v="0"/>
  </r>
  <r>
    <x v="31"/>
    <x v="31"/>
    <x v="5"/>
    <x v="1"/>
    <x v="1"/>
    <x v="0"/>
    <x v="0"/>
    <x v="0"/>
    <x v="31"/>
    <x v="33"/>
    <x v="0"/>
  </r>
  <r>
    <x v="32"/>
    <x v="32"/>
    <x v="5"/>
    <x v="1"/>
    <x v="1"/>
    <x v="0"/>
    <x v="0"/>
    <x v="0"/>
    <x v="32"/>
    <x v="34"/>
    <x v="0"/>
  </r>
  <r>
    <x v="33"/>
    <x v="33"/>
    <x v="5"/>
    <x v="1"/>
    <x v="1"/>
    <x v="0"/>
    <x v="0"/>
    <x v="0"/>
    <x v="32"/>
    <x v="35"/>
    <x v="0"/>
  </r>
  <r>
    <x v="34"/>
    <x v="34"/>
    <x v="1"/>
    <x v="1"/>
    <x v="1"/>
    <x v="0"/>
    <x v="0"/>
    <x v="0"/>
    <x v="33"/>
    <x v="36"/>
    <x v="0"/>
  </r>
  <r>
    <x v="34"/>
    <x v="34"/>
    <x v="4"/>
    <x v="1"/>
    <x v="1"/>
    <x v="0"/>
    <x v="0"/>
    <x v="0"/>
    <x v="34"/>
    <x v="35"/>
    <x v="0"/>
  </r>
  <r>
    <x v="35"/>
    <x v="35"/>
    <x v="1"/>
    <x v="1"/>
    <x v="1"/>
    <x v="0"/>
    <x v="0"/>
    <x v="0"/>
    <x v="35"/>
    <x v="37"/>
    <x v="0"/>
  </r>
  <r>
    <x v="36"/>
    <x v="36"/>
    <x v="4"/>
    <x v="1"/>
    <x v="1"/>
    <x v="0"/>
    <x v="0"/>
    <x v="0"/>
    <x v="36"/>
    <x v="35"/>
    <x v="0"/>
  </r>
  <r>
    <x v="37"/>
    <x v="37"/>
    <x v="5"/>
    <x v="1"/>
    <x v="1"/>
    <x v="0"/>
    <x v="0"/>
    <x v="0"/>
    <x v="37"/>
    <x v="38"/>
    <x v="0"/>
  </r>
  <r>
    <x v="38"/>
    <x v="38"/>
    <x v="3"/>
    <x v="6"/>
    <x v="6"/>
    <x v="17"/>
    <x v="5"/>
    <x v="18"/>
    <x v="38"/>
    <x v="39"/>
    <x v="0"/>
  </r>
  <r>
    <x v="39"/>
    <x v="39"/>
    <x v="4"/>
    <x v="1"/>
    <x v="1"/>
    <x v="0"/>
    <x v="0"/>
    <x v="0"/>
    <x v="39"/>
    <x v="40"/>
    <x v="0"/>
  </r>
  <r>
    <x v="40"/>
    <x v="40"/>
    <x v="1"/>
    <x v="1"/>
    <x v="1"/>
    <x v="0"/>
    <x v="0"/>
    <x v="0"/>
    <x v="40"/>
    <x v="41"/>
    <x v="0"/>
  </r>
  <r>
    <x v="41"/>
    <x v="41"/>
    <x v="5"/>
    <x v="1"/>
    <x v="1"/>
    <x v="0"/>
    <x v="0"/>
    <x v="0"/>
    <x v="41"/>
    <x v="42"/>
    <x v="0"/>
  </r>
  <r>
    <x v="42"/>
    <x v="42"/>
    <x v="4"/>
    <x v="1"/>
    <x v="1"/>
    <x v="0"/>
    <x v="0"/>
    <x v="0"/>
    <x v="42"/>
    <x v="43"/>
    <x v="0"/>
  </r>
  <r>
    <x v="43"/>
    <x v="43"/>
    <x v="2"/>
    <x v="4"/>
    <x v="4"/>
    <x v="18"/>
    <x v="3"/>
    <x v="19"/>
    <x v="43"/>
    <x v="44"/>
    <x v="3"/>
  </r>
  <r>
    <x v="44"/>
    <x v="44"/>
    <x v="4"/>
    <x v="1"/>
    <x v="1"/>
    <x v="0"/>
    <x v="0"/>
    <x v="0"/>
    <x v="44"/>
    <x v="45"/>
    <x v="0"/>
  </r>
  <r>
    <x v="45"/>
    <x v="45"/>
    <x v="7"/>
    <x v="7"/>
    <x v="7"/>
    <x v="19"/>
    <x v="6"/>
    <x v="20"/>
    <x v="45"/>
    <x v="46"/>
    <x v="0"/>
  </r>
  <r>
    <x v="46"/>
    <x v="46"/>
    <x v="7"/>
    <x v="7"/>
    <x v="7"/>
    <x v="20"/>
    <x v="6"/>
    <x v="20"/>
    <x v="45"/>
    <x v="47"/>
    <x v="0"/>
  </r>
  <r>
    <x v="47"/>
    <x v="45"/>
    <x v="8"/>
    <x v="7"/>
    <x v="7"/>
    <x v="19"/>
    <x v="6"/>
    <x v="21"/>
    <x v="46"/>
    <x v="48"/>
    <x v="0"/>
  </r>
  <r>
    <x v="48"/>
    <x v="46"/>
    <x v="8"/>
    <x v="7"/>
    <x v="7"/>
    <x v="20"/>
    <x v="6"/>
    <x v="22"/>
    <x v="47"/>
    <x v="49"/>
    <x v="0"/>
  </r>
  <r>
    <x v="49"/>
    <x v="47"/>
    <x v="1"/>
    <x v="1"/>
    <x v="1"/>
    <x v="0"/>
    <x v="0"/>
    <x v="0"/>
    <x v="40"/>
    <x v="50"/>
    <x v="0"/>
  </r>
  <r>
    <x v="49"/>
    <x v="47"/>
    <x v="7"/>
    <x v="8"/>
    <x v="8"/>
    <x v="21"/>
    <x v="7"/>
    <x v="23"/>
    <x v="48"/>
    <x v="51"/>
    <x v="0"/>
  </r>
  <r>
    <x v="50"/>
    <x v="48"/>
    <x v="7"/>
    <x v="8"/>
    <x v="8"/>
    <x v="22"/>
    <x v="6"/>
    <x v="20"/>
    <x v="45"/>
    <x v="52"/>
    <x v="0"/>
  </r>
  <r>
    <x v="51"/>
    <x v="49"/>
    <x v="1"/>
    <x v="1"/>
    <x v="1"/>
    <x v="0"/>
    <x v="0"/>
    <x v="0"/>
    <x v="40"/>
    <x v="53"/>
    <x v="0"/>
  </r>
  <r>
    <x v="51"/>
    <x v="49"/>
    <x v="7"/>
    <x v="7"/>
    <x v="7"/>
    <x v="23"/>
    <x v="7"/>
    <x v="23"/>
    <x v="49"/>
    <x v="54"/>
    <x v="0"/>
  </r>
  <r>
    <x v="52"/>
    <x v="50"/>
    <x v="1"/>
    <x v="1"/>
    <x v="1"/>
    <x v="0"/>
    <x v="0"/>
    <x v="0"/>
    <x v="50"/>
    <x v="55"/>
    <x v="0"/>
  </r>
  <r>
    <x v="52"/>
    <x v="50"/>
    <x v="2"/>
    <x v="9"/>
    <x v="9"/>
    <x v="24"/>
    <x v="4"/>
    <x v="24"/>
    <x v="51"/>
    <x v="56"/>
    <x v="4"/>
  </r>
  <r>
    <x v="53"/>
    <x v="51"/>
    <x v="1"/>
    <x v="1"/>
    <x v="1"/>
    <x v="0"/>
    <x v="0"/>
    <x v="0"/>
    <x v="35"/>
    <x v="57"/>
    <x v="0"/>
  </r>
  <r>
    <x v="53"/>
    <x v="51"/>
    <x v="3"/>
    <x v="9"/>
    <x v="9"/>
    <x v="25"/>
    <x v="4"/>
    <x v="25"/>
    <x v="52"/>
    <x v="58"/>
    <x v="0"/>
  </r>
  <r>
    <x v="53"/>
    <x v="51"/>
    <x v="2"/>
    <x v="10"/>
    <x v="10"/>
    <x v="26"/>
    <x v="5"/>
    <x v="26"/>
    <x v="53"/>
    <x v="59"/>
    <x v="5"/>
  </r>
  <r>
    <x v="53"/>
    <x v="51"/>
    <x v="2"/>
    <x v="10"/>
    <x v="10"/>
    <x v="27"/>
    <x v="4"/>
    <x v="27"/>
    <x v="54"/>
    <x v="60"/>
    <x v="6"/>
  </r>
  <r>
    <x v="54"/>
    <x v="47"/>
    <x v="8"/>
    <x v="8"/>
    <x v="8"/>
    <x v="21"/>
    <x v="7"/>
    <x v="28"/>
    <x v="55"/>
    <x v="61"/>
    <x v="0"/>
  </r>
  <r>
    <x v="54"/>
    <x v="49"/>
    <x v="8"/>
    <x v="7"/>
    <x v="7"/>
    <x v="23"/>
    <x v="7"/>
    <x v="29"/>
    <x v="56"/>
    <x v="62"/>
    <x v="0"/>
  </r>
  <r>
    <x v="55"/>
    <x v="48"/>
    <x v="8"/>
    <x v="8"/>
    <x v="8"/>
    <x v="22"/>
    <x v="6"/>
    <x v="30"/>
    <x v="57"/>
    <x v="63"/>
    <x v="0"/>
  </r>
  <r>
    <x v="55"/>
    <x v="52"/>
    <x v="2"/>
    <x v="4"/>
    <x v="4"/>
    <x v="28"/>
    <x v="8"/>
    <x v="31"/>
    <x v="58"/>
    <x v="64"/>
    <x v="6"/>
  </r>
  <r>
    <x v="56"/>
    <x v="53"/>
    <x v="3"/>
    <x v="10"/>
    <x v="10"/>
    <x v="29"/>
    <x v="3"/>
    <x v="32"/>
    <x v="59"/>
    <x v="65"/>
    <x v="7"/>
  </r>
  <r>
    <x v="57"/>
    <x v="54"/>
    <x v="3"/>
    <x v="4"/>
    <x v="4"/>
    <x v="30"/>
    <x v="9"/>
    <x v="33"/>
    <x v="60"/>
    <x v="66"/>
    <x v="0"/>
  </r>
  <r>
    <x v="57"/>
    <x v="54"/>
    <x v="7"/>
    <x v="7"/>
    <x v="7"/>
    <x v="31"/>
    <x v="10"/>
    <x v="34"/>
    <x v="61"/>
    <x v="67"/>
    <x v="0"/>
  </r>
  <r>
    <x v="58"/>
    <x v="55"/>
    <x v="4"/>
    <x v="1"/>
    <x v="1"/>
    <x v="0"/>
    <x v="0"/>
    <x v="0"/>
    <x v="39"/>
    <x v="68"/>
    <x v="0"/>
  </r>
  <r>
    <x v="59"/>
    <x v="56"/>
    <x v="4"/>
    <x v="1"/>
    <x v="1"/>
    <x v="0"/>
    <x v="0"/>
    <x v="0"/>
    <x v="62"/>
    <x v="69"/>
    <x v="0"/>
  </r>
  <r>
    <x v="59"/>
    <x v="56"/>
    <x v="5"/>
    <x v="1"/>
    <x v="1"/>
    <x v="0"/>
    <x v="0"/>
    <x v="0"/>
    <x v="63"/>
    <x v="70"/>
    <x v="0"/>
  </r>
  <r>
    <x v="59"/>
    <x v="54"/>
    <x v="8"/>
    <x v="7"/>
    <x v="7"/>
    <x v="31"/>
    <x v="10"/>
    <x v="35"/>
    <x v="64"/>
    <x v="71"/>
    <x v="0"/>
  </r>
  <r>
    <x v="60"/>
    <x v="57"/>
    <x v="1"/>
    <x v="1"/>
    <x v="1"/>
    <x v="0"/>
    <x v="0"/>
    <x v="0"/>
    <x v="65"/>
    <x v="72"/>
    <x v="0"/>
  </r>
  <r>
    <x v="60"/>
    <x v="57"/>
    <x v="7"/>
    <x v="8"/>
    <x v="8"/>
    <x v="32"/>
    <x v="11"/>
    <x v="36"/>
    <x v="66"/>
    <x v="73"/>
    <x v="0"/>
  </r>
  <r>
    <x v="60"/>
    <x v="57"/>
    <x v="7"/>
    <x v="11"/>
    <x v="11"/>
    <x v="33"/>
    <x v="12"/>
    <x v="37"/>
    <x v="67"/>
    <x v="74"/>
    <x v="0"/>
  </r>
  <r>
    <x v="60"/>
    <x v="57"/>
    <x v="7"/>
    <x v="8"/>
    <x v="8"/>
    <x v="34"/>
    <x v="11"/>
    <x v="36"/>
    <x v="66"/>
    <x v="75"/>
    <x v="0"/>
  </r>
  <r>
    <x v="60"/>
    <x v="57"/>
    <x v="7"/>
    <x v="8"/>
    <x v="8"/>
    <x v="35"/>
    <x v="11"/>
    <x v="36"/>
    <x v="66"/>
    <x v="76"/>
    <x v="0"/>
  </r>
  <r>
    <x v="61"/>
    <x v="58"/>
    <x v="2"/>
    <x v="10"/>
    <x v="10"/>
    <x v="36"/>
    <x v="13"/>
    <x v="38"/>
    <x v="68"/>
    <x v="77"/>
    <x v="8"/>
  </r>
  <r>
    <x v="62"/>
    <x v="59"/>
    <x v="2"/>
    <x v="10"/>
    <x v="10"/>
    <x v="37"/>
    <x v="1"/>
    <x v="39"/>
    <x v="69"/>
    <x v="78"/>
    <x v="9"/>
  </r>
  <r>
    <x v="63"/>
    <x v="60"/>
    <x v="2"/>
    <x v="10"/>
    <x v="10"/>
    <x v="38"/>
    <x v="11"/>
    <x v="40"/>
    <x v="70"/>
    <x v="79"/>
    <x v="10"/>
  </r>
  <r>
    <x v="64"/>
    <x v="57"/>
    <x v="8"/>
    <x v="8"/>
    <x v="8"/>
    <x v="32"/>
    <x v="11"/>
    <x v="41"/>
    <x v="71"/>
    <x v="80"/>
    <x v="0"/>
  </r>
  <r>
    <x v="64"/>
    <x v="57"/>
    <x v="8"/>
    <x v="8"/>
    <x v="8"/>
    <x v="34"/>
    <x v="11"/>
    <x v="42"/>
    <x v="72"/>
    <x v="81"/>
    <x v="0"/>
  </r>
  <r>
    <x v="64"/>
    <x v="57"/>
    <x v="8"/>
    <x v="8"/>
    <x v="8"/>
    <x v="35"/>
    <x v="11"/>
    <x v="43"/>
    <x v="73"/>
    <x v="82"/>
    <x v="0"/>
  </r>
  <r>
    <x v="64"/>
    <x v="61"/>
    <x v="7"/>
    <x v="8"/>
    <x v="8"/>
    <x v="39"/>
    <x v="11"/>
    <x v="36"/>
    <x v="66"/>
    <x v="83"/>
    <x v="0"/>
  </r>
  <r>
    <x v="64"/>
    <x v="61"/>
    <x v="7"/>
    <x v="7"/>
    <x v="7"/>
    <x v="40"/>
    <x v="12"/>
    <x v="37"/>
    <x v="74"/>
    <x v="84"/>
    <x v="0"/>
  </r>
  <r>
    <x v="65"/>
    <x v="62"/>
    <x v="7"/>
    <x v="7"/>
    <x v="7"/>
    <x v="41"/>
    <x v="12"/>
    <x v="37"/>
    <x v="74"/>
    <x v="85"/>
    <x v="0"/>
  </r>
  <r>
    <x v="65"/>
    <x v="62"/>
    <x v="7"/>
    <x v="8"/>
    <x v="8"/>
    <x v="42"/>
    <x v="14"/>
    <x v="44"/>
    <x v="75"/>
    <x v="86"/>
    <x v="0"/>
  </r>
  <r>
    <x v="65"/>
    <x v="62"/>
    <x v="7"/>
    <x v="7"/>
    <x v="7"/>
    <x v="43"/>
    <x v="15"/>
    <x v="45"/>
    <x v="76"/>
    <x v="87"/>
    <x v="0"/>
  </r>
  <r>
    <x v="66"/>
    <x v="61"/>
    <x v="8"/>
    <x v="7"/>
    <x v="7"/>
    <x v="40"/>
    <x v="12"/>
    <x v="46"/>
    <x v="77"/>
    <x v="88"/>
    <x v="0"/>
  </r>
  <r>
    <x v="66"/>
    <x v="63"/>
    <x v="2"/>
    <x v="12"/>
    <x v="12"/>
    <x v="44"/>
    <x v="1"/>
    <x v="47"/>
    <x v="78"/>
    <x v="89"/>
    <x v="1"/>
  </r>
  <r>
    <x v="67"/>
    <x v="62"/>
    <x v="8"/>
    <x v="7"/>
    <x v="7"/>
    <x v="41"/>
    <x v="12"/>
    <x v="48"/>
    <x v="79"/>
    <x v="90"/>
    <x v="0"/>
  </r>
  <r>
    <x v="67"/>
    <x v="62"/>
    <x v="8"/>
    <x v="7"/>
    <x v="7"/>
    <x v="43"/>
    <x v="15"/>
    <x v="49"/>
    <x v="80"/>
    <x v="91"/>
    <x v="0"/>
  </r>
  <r>
    <x v="67"/>
    <x v="64"/>
    <x v="2"/>
    <x v="4"/>
    <x v="4"/>
    <x v="45"/>
    <x v="4"/>
    <x v="50"/>
    <x v="81"/>
    <x v="92"/>
    <x v="4"/>
  </r>
  <r>
    <x v="67"/>
    <x v="64"/>
    <x v="2"/>
    <x v="12"/>
    <x v="12"/>
    <x v="46"/>
    <x v="2"/>
    <x v="51"/>
    <x v="82"/>
    <x v="93"/>
    <x v="5"/>
  </r>
  <r>
    <x v="68"/>
    <x v="57"/>
    <x v="8"/>
    <x v="11"/>
    <x v="11"/>
    <x v="33"/>
    <x v="12"/>
    <x v="52"/>
    <x v="83"/>
    <x v="94"/>
    <x v="0"/>
  </r>
  <r>
    <x v="69"/>
    <x v="61"/>
    <x v="8"/>
    <x v="8"/>
    <x v="8"/>
    <x v="39"/>
    <x v="11"/>
    <x v="53"/>
    <x v="84"/>
    <x v="95"/>
    <x v="0"/>
  </r>
  <r>
    <x v="70"/>
    <x v="62"/>
    <x v="8"/>
    <x v="8"/>
    <x v="8"/>
    <x v="42"/>
    <x v="14"/>
    <x v="54"/>
    <x v="85"/>
    <x v="96"/>
    <x v="0"/>
  </r>
  <r>
    <x v="70"/>
    <x v="65"/>
    <x v="2"/>
    <x v="12"/>
    <x v="12"/>
    <x v="47"/>
    <x v="1"/>
    <x v="55"/>
    <x v="86"/>
    <x v="97"/>
    <x v="11"/>
  </r>
  <r>
    <x v="71"/>
    <x v="66"/>
    <x v="4"/>
    <x v="1"/>
    <x v="1"/>
    <x v="0"/>
    <x v="0"/>
    <x v="0"/>
    <x v="87"/>
    <x v="98"/>
    <x v="0"/>
  </r>
  <r>
    <x v="72"/>
    <x v="67"/>
    <x v="2"/>
    <x v="12"/>
    <x v="12"/>
    <x v="48"/>
    <x v="1"/>
    <x v="56"/>
    <x v="88"/>
    <x v="99"/>
    <x v="6"/>
  </r>
  <r>
    <x v="73"/>
    <x v="68"/>
    <x v="2"/>
    <x v="10"/>
    <x v="10"/>
    <x v="49"/>
    <x v="3"/>
    <x v="57"/>
    <x v="89"/>
    <x v="100"/>
    <x v="12"/>
  </r>
  <r>
    <x v="73"/>
    <x v="68"/>
    <x v="2"/>
    <x v="10"/>
    <x v="10"/>
    <x v="50"/>
    <x v="13"/>
    <x v="58"/>
    <x v="90"/>
    <x v="101"/>
    <x v="13"/>
  </r>
  <r>
    <x v="73"/>
    <x v="68"/>
    <x v="3"/>
    <x v="10"/>
    <x v="10"/>
    <x v="51"/>
    <x v="3"/>
    <x v="59"/>
    <x v="91"/>
    <x v="102"/>
    <x v="14"/>
  </r>
  <r>
    <x v="73"/>
    <x v="68"/>
    <x v="3"/>
    <x v="10"/>
    <x v="10"/>
    <x v="13"/>
    <x v="1"/>
    <x v="60"/>
    <x v="92"/>
    <x v="103"/>
    <x v="15"/>
  </r>
  <r>
    <x v="74"/>
    <x v="69"/>
    <x v="3"/>
    <x v="10"/>
    <x v="10"/>
    <x v="52"/>
    <x v="16"/>
    <x v="61"/>
    <x v="93"/>
    <x v="104"/>
    <x v="12"/>
  </r>
  <r>
    <x v="74"/>
    <x v="69"/>
    <x v="3"/>
    <x v="10"/>
    <x v="10"/>
    <x v="53"/>
    <x v="3"/>
    <x v="62"/>
    <x v="94"/>
    <x v="105"/>
    <x v="10"/>
  </r>
  <r>
    <x v="75"/>
    <x v="70"/>
    <x v="2"/>
    <x v="10"/>
    <x v="10"/>
    <x v="54"/>
    <x v="4"/>
    <x v="63"/>
    <x v="95"/>
    <x v="106"/>
    <x v="16"/>
  </r>
  <r>
    <x v="75"/>
    <x v="70"/>
    <x v="2"/>
    <x v="10"/>
    <x v="10"/>
    <x v="55"/>
    <x v="3"/>
    <x v="64"/>
    <x v="96"/>
    <x v="107"/>
    <x v="17"/>
  </r>
  <r>
    <x v="75"/>
    <x v="70"/>
    <x v="3"/>
    <x v="10"/>
    <x v="10"/>
    <x v="56"/>
    <x v="3"/>
    <x v="65"/>
    <x v="97"/>
    <x v="108"/>
    <x v="16"/>
  </r>
  <r>
    <x v="75"/>
    <x v="70"/>
    <x v="3"/>
    <x v="10"/>
    <x v="10"/>
    <x v="57"/>
    <x v="4"/>
    <x v="66"/>
    <x v="98"/>
    <x v="109"/>
    <x v="10"/>
  </r>
  <r>
    <x v="75"/>
    <x v="70"/>
    <x v="2"/>
    <x v="10"/>
    <x v="10"/>
    <x v="58"/>
    <x v="4"/>
    <x v="67"/>
    <x v="99"/>
    <x v="110"/>
    <x v="16"/>
  </r>
  <r>
    <x v="75"/>
    <x v="70"/>
    <x v="3"/>
    <x v="10"/>
    <x v="10"/>
    <x v="59"/>
    <x v="4"/>
    <x v="68"/>
    <x v="100"/>
    <x v="111"/>
    <x v="10"/>
  </r>
  <r>
    <x v="76"/>
    <x v="71"/>
    <x v="2"/>
    <x v="10"/>
    <x v="10"/>
    <x v="60"/>
    <x v="4"/>
    <x v="69"/>
    <x v="101"/>
    <x v="112"/>
    <x v="16"/>
  </r>
  <r>
    <x v="77"/>
    <x v="72"/>
    <x v="3"/>
    <x v="10"/>
    <x v="10"/>
    <x v="61"/>
    <x v="4"/>
    <x v="47"/>
    <x v="102"/>
    <x v="113"/>
    <x v="10"/>
  </r>
  <r>
    <x v="77"/>
    <x v="72"/>
    <x v="2"/>
    <x v="10"/>
    <x v="10"/>
    <x v="62"/>
    <x v="13"/>
    <x v="70"/>
    <x v="103"/>
    <x v="114"/>
    <x v="14"/>
  </r>
  <r>
    <x v="77"/>
    <x v="72"/>
    <x v="3"/>
    <x v="10"/>
    <x v="10"/>
    <x v="63"/>
    <x v="2"/>
    <x v="71"/>
    <x v="104"/>
    <x v="115"/>
    <x v="16"/>
  </r>
  <r>
    <x v="77"/>
    <x v="72"/>
    <x v="3"/>
    <x v="10"/>
    <x v="10"/>
    <x v="61"/>
    <x v="4"/>
    <x v="47"/>
    <x v="102"/>
    <x v="116"/>
    <x v="10"/>
  </r>
  <r>
    <x v="78"/>
    <x v="73"/>
    <x v="2"/>
    <x v="10"/>
    <x v="10"/>
    <x v="64"/>
    <x v="4"/>
    <x v="72"/>
    <x v="105"/>
    <x v="117"/>
    <x v="16"/>
  </r>
  <r>
    <x v="79"/>
    <x v="74"/>
    <x v="3"/>
    <x v="12"/>
    <x v="12"/>
    <x v="65"/>
    <x v="1"/>
    <x v="73"/>
    <x v="106"/>
    <x v="118"/>
    <x v="11"/>
  </r>
  <r>
    <x v="79"/>
    <x v="74"/>
    <x v="3"/>
    <x v="10"/>
    <x v="10"/>
    <x v="66"/>
    <x v="4"/>
    <x v="74"/>
    <x v="107"/>
    <x v="119"/>
    <x v="10"/>
  </r>
  <r>
    <x v="80"/>
    <x v="75"/>
    <x v="2"/>
    <x v="12"/>
    <x v="12"/>
    <x v="67"/>
    <x v="3"/>
    <x v="75"/>
    <x v="108"/>
    <x v="120"/>
    <x v="18"/>
  </r>
  <r>
    <x v="81"/>
    <x v="76"/>
    <x v="3"/>
    <x v="12"/>
    <x v="12"/>
    <x v="68"/>
    <x v="3"/>
    <x v="76"/>
    <x v="109"/>
    <x v="121"/>
    <x v="11"/>
  </r>
  <r>
    <x v="82"/>
    <x v="77"/>
    <x v="2"/>
    <x v="12"/>
    <x v="12"/>
    <x v="69"/>
    <x v="3"/>
    <x v="77"/>
    <x v="110"/>
    <x v="122"/>
    <x v="18"/>
  </r>
  <r>
    <x v="82"/>
    <x v="77"/>
    <x v="3"/>
    <x v="12"/>
    <x v="12"/>
    <x v="70"/>
    <x v="3"/>
    <x v="78"/>
    <x v="111"/>
    <x v="123"/>
    <x v="11"/>
  </r>
  <r>
    <x v="83"/>
    <x v="78"/>
    <x v="2"/>
    <x v="12"/>
    <x v="12"/>
    <x v="71"/>
    <x v="3"/>
    <x v="79"/>
    <x v="112"/>
    <x v="124"/>
    <x v="18"/>
  </r>
  <r>
    <x v="83"/>
    <x v="78"/>
    <x v="3"/>
    <x v="12"/>
    <x v="12"/>
    <x v="72"/>
    <x v="3"/>
    <x v="80"/>
    <x v="113"/>
    <x v="125"/>
    <x v="11"/>
  </r>
  <r>
    <x v="84"/>
    <x v="79"/>
    <x v="2"/>
    <x v="10"/>
    <x v="10"/>
    <x v="73"/>
    <x v="13"/>
    <x v="81"/>
    <x v="114"/>
    <x v="126"/>
    <x v="14"/>
  </r>
  <r>
    <x v="84"/>
    <x v="79"/>
    <x v="3"/>
    <x v="4"/>
    <x v="4"/>
    <x v="74"/>
    <x v="4"/>
    <x v="82"/>
    <x v="115"/>
    <x v="127"/>
    <x v="0"/>
  </r>
  <r>
    <x v="85"/>
    <x v="80"/>
    <x v="3"/>
    <x v="10"/>
    <x v="10"/>
    <x v="75"/>
    <x v="13"/>
    <x v="83"/>
    <x v="116"/>
    <x v="128"/>
    <x v="10"/>
  </r>
  <r>
    <x v="86"/>
    <x v="81"/>
    <x v="2"/>
    <x v="12"/>
    <x v="12"/>
    <x v="76"/>
    <x v="3"/>
    <x v="84"/>
    <x v="117"/>
    <x v="129"/>
    <x v="18"/>
  </r>
  <r>
    <x v="86"/>
    <x v="81"/>
    <x v="2"/>
    <x v="12"/>
    <x v="12"/>
    <x v="77"/>
    <x v="3"/>
    <x v="85"/>
    <x v="118"/>
    <x v="130"/>
    <x v="19"/>
  </r>
  <r>
    <x v="86"/>
    <x v="81"/>
    <x v="2"/>
    <x v="10"/>
    <x v="10"/>
    <x v="78"/>
    <x v="8"/>
    <x v="86"/>
    <x v="119"/>
    <x v="131"/>
    <x v="20"/>
  </r>
  <r>
    <x v="87"/>
    <x v="82"/>
    <x v="5"/>
    <x v="1"/>
    <x v="1"/>
    <x v="0"/>
    <x v="0"/>
    <x v="0"/>
    <x v="120"/>
    <x v="132"/>
    <x v="0"/>
  </r>
  <r>
    <x v="88"/>
    <x v="83"/>
    <x v="1"/>
    <x v="1"/>
    <x v="1"/>
    <x v="0"/>
    <x v="0"/>
    <x v="0"/>
    <x v="121"/>
    <x v="133"/>
    <x v="0"/>
  </r>
  <r>
    <x v="88"/>
    <x v="83"/>
    <x v="2"/>
    <x v="13"/>
    <x v="13"/>
    <x v="79"/>
    <x v="17"/>
    <x v="87"/>
    <x v="122"/>
    <x v="134"/>
    <x v="18"/>
  </r>
  <r>
    <x v="89"/>
    <x v="84"/>
    <x v="3"/>
    <x v="10"/>
    <x v="10"/>
    <x v="80"/>
    <x v="3"/>
    <x v="88"/>
    <x v="123"/>
    <x v="135"/>
    <x v="21"/>
  </r>
  <r>
    <x v="89"/>
    <x v="84"/>
    <x v="3"/>
    <x v="10"/>
    <x v="10"/>
    <x v="81"/>
    <x v="3"/>
    <x v="89"/>
    <x v="124"/>
    <x v="136"/>
    <x v="19"/>
  </r>
  <r>
    <x v="90"/>
    <x v="85"/>
    <x v="5"/>
    <x v="1"/>
    <x v="1"/>
    <x v="0"/>
    <x v="0"/>
    <x v="0"/>
    <x v="125"/>
    <x v="137"/>
    <x v="0"/>
  </r>
  <r>
    <x v="91"/>
    <x v="86"/>
    <x v="2"/>
    <x v="10"/>
    <x v="10"/>
    <x v="82"/>
    <x v="18"/>
    <x v="90"/>
    <x v="126"/>
    <x v="138"/>
    <x v="22"/>
  </r>
  <r>
    <x v="92"/>
    <x v="87"/>
    <x v="3"/>
    <x v="10"/>
    <x v="10"/>
    <x v="83"/>
    <x v="18"/>
    <x v="91"/>
    <x v="127"/>
    <x v="139"/>
    <x v="19"/>
  </r>
  <r>
    <x v="92"/>
    <x v="87"/>
    <x v="2"/>
    <x v="12"/>
    <x v="12"/>
    <x v="84"/>
    <x v="3"/>
    <x v="92"/>
    <x v="128"/>
    <x v="140"/>
    <x v="21"/>
  </r>
  <r>
    <x v="93"/>
    <x v="88"/>
    <x v="1"/>
    <x v="1"/>
    <x v="1"/>
    <x v="0"/>
    <x v="0"/>
    <x v="0"/>
    <x v="129"/>
    <x v="141"/>
    <x v="0"/>
  </r>
  <r>
    <x v="93"/>
    <x v="88"/>
    <x v="1"/>
    <x v="1"/>
    <x v="1"/>
    <x v="0"/>
    <x v="0"/>
    <x v="0"/>
    <x v="1"/>
    <x v="142"/>
    <x v="0"/>
  </r>
  <r>
    <x v="93"/>
    <x v="88"/>
    <x v="1"/>
    <x v="1"/>
    <x v="1"/>
    <x v="0"/>
    <x v="0"/>
    <x v="0"/>
    <x v="130"/>
    <x v="143"/>
    <x v="0"/>
  </r>
  <r>
    <x v="93"/>
    <x v="88"/>
    <x v="6"/>
    <x v="12"/>
    <x v="12"/>
    <x v="0"/>
    <x v="19"/>
    <x v="93"/>
    <x v="131"/>
    <x v="144"/>
    <x v="0"/>
  </r>
  <r>
    <x v="93"/>
    <x v="88"/>
    <x v="2"/>
    <x v="14"/>
    <x v="14"/>
    <x v="85"/>
    <x v="11"/>
    <x v="94"/>
    <x v="132"/>
    <x v="145"/>
    <x v="23"/>
  </r>
  <r>
    <x v="93"/>
    <x v="88"/>
    <x v="2"/>
    <x v="6"/>
    <x v="6"/>
    <x v="55"/>
    <x v="5"/>
    <x v="95"/>
    <x v="133"/>
    <x v="146"/>
    <x v="5"/>
  </r>
  <r>
    <x v="94"/>
    <x v="89"/>
    <x v="6"/>
    <x v="6"/>
    <x v="6"/>
    <x v="0"/>
    <x v="5"/>
    <x v="96"/>
    <x v="134"/>
    <x v="147"/>
    <x v="0"/>
  </r>
  <r>
    <x v="95"/>
    <x v="90"/>
    <x v="1"/>
    <x v="1"/>
    <x v="1"/>
    <x v="0"/>
    <x v="0"/>
    <x v="0"/>
    <x v="135"/>
    <x v="148"/>
    <x v="0"/>
  </r>
  <r>
    <x v="95"/>
    <x v="90"/>
    <x v="2"/>
    <x v="14"/>
    <x v="14"/>
    <x v="86"/>
    <x v="20"/>
    <x v="97"/>
    <x v="136"/>
    <x v="149"/>
    <x v="24"/>
  </r>
  <r>
    <x v="96"/>
    <x v="91"/>
    <x v="6"/>
    <x v="10"/>
    <x v="10"/>
    <x v="0"/>
    <x v="0"/>
    <x v="98"/>
    <x v="137"/>
    <x v="150"/>
    <x v="0"/>
  </r>
  <r>
    <x v="96"/>
    <x v="91"/>
    <x v="6"/>
    <x v="13"/>
    <x v="13"/>
    <x v="0"/>
    <x v="17"/>
    <x v="99"/>
    <x v="138"/>
    <x v="151"/>
    <x v="0"/>
  </r>
  <r>
    <x v="97"/>
    <x v="92"/>
    <x v="5"/>
    <x v="1"/>
    <x v="1"/>
    <x v="0"/>
    <x v="0"/>
    <x v="0"/>
    <x v="139"/>
    <x v="152"/>
    <x v="0"/>
  </r>
  <r>
    <x v="98"/>
    <x v="93"/>
    <x v="4"/>
    <x v="1"/>
    <x v="1"/>
    <x v="0"/>
    <x v="0"/>
    <x v="0"/>
    <x v="15"/>
    <x v="153"/>
    <x v="0"/>
  </r>
  <r>
    <x v="99"/>
    <x v="94"/>
    <x v="3"/>
    <x v="14"/>
    <x v="14"/>
    <x v="87"/>
    <x v="20"/>
    <x v="100"/>
    <x v="140"/>
    <x v="154"/>
    <x v="23"/>
  </r>
  <r>
    <x v="99"/>
    <x v="94"/>
    <x v="2"/>
    <x v="12"/>
    <x v="12"/>
    <x v="88"/>
    <x v="3"/>
    <x v="101"/>
    <x v="141"/>
    <x v="155"/>
    <x v="20"/>
  </r>
  <r>
    <x v="100"/>
    <x v="95"/>
    <x v="2"/>
    <x v="14"/>
    <x v="14"/>
    <x v="89"/>
    <x v="7"/>
    <x v="102"/>
    <x v="142"/>
    <x v="156"/>
    <x v="25"/>
  </r>
  <r>
    <x v="101"/>
    <x v="96"/>
    <x v="3"/>
    <x v="6"/>
    <x v="6"/>
    <x v="14"/>
    <x v="5"/>
    <x v="103"/>
    <x v="143"/>
    <x v="157"/>
    <x v="0"/>
  </r>
  <r>
    <x v="101"/>
    <x v="96"/>
    <x v="3"/>
    <x v="12"/>
    <x v="12"/>
    <x v="90"/>
    <x v="13"/>
    <x v="104"/>
    <x v="144"/>
    <x v="158"/>
    <x v="19"/>
  </r>
  <r>
    <x v="101"/>
    <x v="96"/>
    <x v="3"/>
    <x v="10"/>
    <x v="10"/>
    <x v="91"/>
    <x v="13"/>
    <x v="105"/>
    <x v="145"/>
    <x v="159"/>
    <x v="11"/>
  </r>
  <r>
    <x v="101"/>
    <x v="96"/>
    <x v="3"/>
    <x v="13"/>
    <x v="13"/>
    <x v="92"/>
    <x v="17"/>
    <x v="106"/>
    <x v="146"/>
    <x v="160"/>
    <x v="0"/>
  </r>
  <r>
    <x v="101"/>
    <x v="96"/>
    <x v="3"/>
    <x v="14"/>
    <x v="14"/>
    <x v="93"/>
    <x v="21"/>
    <x v="107"/>
    <x v="147"/>
    <x v="161"/>
    <x v="0"/>
  </r>
  <r>
    <x v="101"/>
    <x v="96"/>
    <x v="2"/>
    <x v="15"/>
    <x v="15"/>
    <x v="94"/>
    <x v="22"/>
    <x v="108"/>
    <x v="148"/>
    <x v="162"/>
    <x v="26"/>
  </r>
  <r>
    <x v="101"/>
    <x v="96"/>
    <x v="2"/>
    <x v="15"/>
    <x v="15"/>
    <x v="95"/>
    <x v="1"/>
    <x v="109"/>
    <x v="149"/>
    <x v="163"/>
    <x v="10"/>
  </r>
  <r>
    <x v="101"/>
    <x v="96"/>
    <x v="3"/>
    <x v="10"/>
    <x v="10"/>
    <x v="91"/>
    <x v="23"/>
    <x v="110"/>
    <x v="150"/>
    <x v="164"/>
    <x v="23"/>
  </r>
  <r>
    <x v="101"/>
    <x v="96"/>
    <x v="3"/>
    <x v="12"/>
    <x v="12"/>
    <x v="96"/>
    <x v="22"/>
    <x v="111"/>
    <x v="151"/>
    <x v="165"/>
    <x v="23"/>
  </r>
  <r>
    <x v="101"/>
    <x v="96"/>
    <x v="2"/>
    <x v="15"/>
    <x v="15"/>
    <x v="97"/>
    <x v="24"/>
    <x v="112"/>
    <x v="152"/>
    <x v="166"/>
    <x v="27"/>
  </r>
  <r>
    <x v="101"/>
    <x v="96"/>
    <x v="2"/>
    <x v="12"/>
    <x v="12"/>
    <x v="96"/>
    <x v="11"/>
    <x v="113"/>
    <x v="153"/>
    <x v="167"/>
    <x v="28"/>
  </r>
  <r>
    <x v="102"/>
    <x v="97"/>
    <x v="9"/>
    <x v="10"/>
    <x v="10"/>
    <x v="0"/>
    <x v="0"/>
    <x v="0"/>
    <x v="154"/>
    <x v="168"/>
    <x v="0"/>
  </r>
  <r>
    <x v="102"/>
    <x v="97"/>
    <x v="9"/>
    <x v="6"/>
    <x v="6"/>
    <x v="0"/>
    <x v="0"/>
    <x v="0"/>
    <x v="155"/>
    <x v="169"/>
    <x v="0"/>
  </r>
  <r>
    <x v="102"/>
    <x v="97"/>
    <x v="9"/>
    <x v="13"/>
    <x v="13"/>
    <x v="0"/>
    <x v="0"/>
    <x v="0"/>
    <x v="156"/>
    <x v="170"/>
    <x v="0"/>
  </r>
  <r>
    <x v="102"/>
    <x v="97"/>
    <x v="9"/>
    <x v="12"/>
    <x v="12"/>
    <x v="0"/>
    <x v="0"/>
    <x v="0"/>
    <x v="157"/>
    <x v="171"/>
    <x v="0"/>
  </r>
  <r>
    <x v="102"/>
    <x v="97"/>
    <x v="9"/>
    <x v="12"/>
    <x v="12"/>
    <x v="0"/>
    <x v="0"/>
    <x v="0"/>
    <x v="158"/>
    <x v="172"/>
    <x v="0"/>
  </r>
  <r>
    <x v="102"/>
    <x v="97"/>
    <x v="9"/>
    <x v="12"/>
    <x v="12"/>
    <x v="0"/>
    <x v="0"/>
    <x v="0"/>
    <x v="159"/>
    <x v="173"/>
    <x v="0"/>
  </r>
  <r>
    <x v="102"/>
    <x v="97"/>
    <x v="9"/>
    <x v="12"/>
    <x v="12"/>
    <x v="0"/>
    <x v="0"/>
    <x v="0"/>
    <x v="160"/>
    <x v="174"/>
    <x v="0"/>
  </r>
  <r>
    <x v="102"/>
    <x v="97"/>
    <x v="9"/>
    <x v="12"/>
    <x v="12"/>
    <x v="0"/>
    <x v="0"/>
    <x v="0"/>
    <x v="159"/>
    <x v="175"/>
    <x v="0"/>
  </r>
  <r>
    <x v="103"/>
    <x v="98"/>
    <x v="3"/>
    <x v="15"/>
    <x v="15"/>
    <x v="98"/>
    <x v="8"/>
    <x v="114"/>
    <x v="161"/>
    <x v="176"/>
    <x v="20"/>
  </r>
  <r>
    <x v="103"/>
    <x v="98"/>
    <x v="2"/>
    <x v="12"/>
    <x v="12"/>
    <x v="6"/>
    <x v="18"/>
    <x v="115"/>
    <x v="162"/>
    <x v="177"/>
    <x v="6"/>
  </r>
  <r>
    <x v="103"/>
    <x v="98"/>
    <x v="3"/>
    <x v="15"/>
    <x v="15"/>
    <x v="99"/>
    <x v="13"/>
    <x v="116"/>
    <x v="163"/>
    <x v="178"/>
    <x v="19"/>
  </r>
  <r>
    <x v="103"/>
    <x v="98"/>
    <x v="3"/>
    <x v="15"/>
    <x v="15"/>
    <x v="100"/>
    <x v="13"/>
    <x v="117"/>
    <x v="164"/>
    <x v="179"/>
    <x v="11"/>
  </r>
  <r>
    <x v="103"/>
    <x v="98"/>
    <x v="2"/>
    <x v="12"/>
    <x v="12"/>
    <x v="101"/>
    <x v="25"/>
    <x v="118"/>
    <x v="165"/>
    <x v="180"/>
    <x v="20"/>
  </r>
  <r>
    <x v="103"/>
    <x v="98"/>
    <x v="3"/>
    <x v="15"/>
    <x v="15"/>
    <x v="102"/>
    <x v="13"/>
    <x v="119"/>
    <x v="166"/>
    <x v="181"/>
    <x v="0"/>
  </r>
  <r>
    <x v="103"/>
    <x v="98"/>
    <x v="2"/>
    <x v="10"/>
    <x v="10"/>
    <x v="103"/>
    <x v="26"/>
    <x v="120"/>
    <x v="167"/>
    <x v="182"/>
    <x v="9"/>
  </r>
  <r>
    <x v="103"/>
    <x v="98"/>
    <x v="3"/>
    <x v="10"/>
    <x v="10"/>
    <x v="104"/>
    <x v="11"/>
    <x v="121"/>
    <x v="168"/>
    <x v="183"/>
    <x v="19"/>
  </r>
  <r>
    <x v="103"/>
    <x v="98"/>
    <x v="2"/>
    <x v="16"/>
    <x v="16"/>
    <x v="105"/>
    <x v="16"/>
    <x v="122"/>
    <x v="169"/>
    <x v="184"/>
    <x v="28"/>
  </r>
  <r>
    <x v="103"/>
    <x v="98"/>
    <x v="2"/>
    <x v="14"/>
    <x v="14"/>
    <x v="106"/>
    <x v="27"/>
    <x v="123"/>
    <x v="170"/>
    <x v="185"/>
    <x v="29"/>
  </r>
  <r>
    <x v="104"/>
    <x v="99"/>
    <x v="3"/>
    <x v="16"/>
    <x v="16"/>
    <x v="107"/>
    <x v="16"/>
    <x v="124"/>
    <x v="171"/>
    <x v="186"/>
    <x v="0"/>
  </r>
  <r>
    <x v="104"/>
    <x v="99"/>
    <x v="2"/>
    <x v="12"/>
    <x v="12"/>
    <x v="108"/>
    <x v="3"/>
    <x v="125"/>
    <x v="172"/>
    <x v="187"/>
    <x v="30"/>
  </r>
  <r>
    <x v="104"/>
    <x v="99"/>
    <x v="2"/>
    <x v="17"/>
    <x v="17"/>
    <x v="109"/>
    <x v="3"/>
    <x v="126"/>
    <x v="173"/>
    <x v="188"/>
    <x v="3"/>
  </r>
  <r>
    <x v="104"/>
    <x v="99"/>
    <x v="2"/>
    <x v="18"/>
    <x v="18"/>
    <x v="110"/>
    <x v="4"/>
    <x v="127"/>
    <x v="174"/>
    <x v="189"/>
    <x v="4"/>
  </r>
  <r>
    <x v="105"/>
    <x v="100"/>
    <x v="3"/>
    <x v="18"/>
    <x v="18"/>
    <x v="111"/>
    <x v="4"/>
    <x v="128"/>
    <x v="175"/>
    <x v="190"/>
    <x v="0"/>
  </r>
  <r>
    <x v="105"/>
    <x v="100"/>
    <x v="2"/>
    <x v="12"/>
    <x v="12"/>
    <x v="112"/>
    <x v="3"/>
    <x v="129"/>
    <x v="176"/>
    <x v="191"/>
    <x v="31"/>
  </r>
  <r>
    <x v="105"/>
    <x v="100"/>
    <x v="3"/>
    <x v="17"/>
    <x v="17"/>
    <x v="113"/>
    <x v="3"/>
    <x v="130"/>
    <x v="177"/>
    <x v="192"/>
    <x v="0"/>
  </r>
  <r>
    <x v="105"/>
    <x v="100"/>
    <x v="3"/>
    <x v="12"/>
    <x v="12"/>
    <x v="114"/>
    <x v="3"/>
    <x v="131"/>
    <x v="178"/>
    <x v="193"/>
    <x v="30"/>
  </r>
  <r>
    <x v="105"/>
    <x v="99"/>
    <x v="10"/>
    <x v="16"/>
    <x v="16"/>
    <x v="0"/>
    <x v="0"/>
    <x v="132"/>
    <x v="179"/>
    <x v="194"/>
    <x v="0"/>
  </r>
  <r>
    <x v="106"/>
    <x v="101"/>
    <x v="2"/>
    <x v="12"/>
    <x v="12"/>
    <x v="115"/>
    <x v="3"/>
    <x v="133"/>
    <x v="180"/>
    <x v="195"/>
    <x v="31"/>
  </r>
  <r>
    <x v="107"/>
    <x v="102"/>
    <x v="2"/>
    <x v="19"/>
    <x v="19"/>
    <x v="116"/>
    <x v="28"/>
    <x v="134"/>
    <x v="181"/>
    <x v="196"/>
    <x v="32"/>
  </r>
  <r>
    <x v="108"/>
    <x v="103"/>
    <x v="3"/>
    <x v="14"/>
    <x v="14"/>
    <x v="117"/>
    <x v="27"/>
    <x v="135"/>
    <x v="182"/>
    <x v="197"/>
    <x v="0"/>
  </r>
  <r>
    <x v="108"/>
    <x v="103"/>
    <x v="2"/>
    <x v="19"/>
    <x v="19"/>
    <x v="118"/>
    <x v="29"/>
    <x v="136"/>
    <x v="183"/>
    <x v="198"/>
    <x v="33"/>
  </r>
  <r>
    <x v="109"/>
    <x v="104"/>
    <x v="1"/>
    <x v="1"/>
    <x v="1"/>
    <x v="0"/>
    <x v="0"/>
    <x v="0"/>
    <x v="65"/>
    <x v="199"/>
    <x v="0"/>
  </r>
  <r>
    <x v="109"/>
    <x v="104"/>
    <x v="2"/>
    <x v="16"/>
    <x v="16"/>
    <x v="119"/>
    <x v="2"/>
    <x v="137"/>
    <x v="184"/>
    <x v="200"/>
    <x v="2"/>
  </r>
  <r>
    <x v="110"/>
    <x v="104"/>
    <x v="11"/>
    <x v="20"/>
    <x v="20"/>
    <x v="0"/>
    <x v="2"/>
    <x v="0"/>
    <x v="0"/>
    <x v="200"/>
    <x v="0"/>
  </r>
  <r>
    <x v="110"/>
    <x v="104"/>
    <x v="10"/>
    <x v="16"/>
    <x v="16"/>
    <x v="0"/>
    <x v="0"/>
    <x v="138"/>
    <x v="185"/>
    <x v="201"/>
    <x v="0"/>
  </r>
  <r>
    <x v="111"/>
    <x v="105"/>
    <x v="2"/>
    <x v="21"/>
    <x v="21"/>
    <x v="120"/>
    <x v="3"/>
    <x v="139"/>
    <x v="186"/>
    <x v="202"/>
    <x v="3"/>
  </r>
  <r>
    <x v="111"/>
    <x v="105"/>
    <x v="2"/>
    <x v="22"/>
    <x v="22"/>
    <x v="121"/>
    <x v="30"/>
    <x v="140"/>
    <x v="187"/>
    <x v="203"/>
    <x v="34"/>
  </r>
  <r>
    <x v="111"/>
    <x v="105"/>
    <x v="2"/>
    <x v="21"/>
    <x v="21"/>
    <x v="122"/>
    <x v="17"/>
    <x v="141"/>
    <x v="188"/>
    <x v="204"/>
    <x v="19"/>
  </r>
  <r>
    <x v="112"/>
    <x v="106"/>
    <x v="3"/>
    <x v="22"/>
    <x v="22"/>
    <x v="123"/>
    <x v="30"/>
    <x v="142"/>
    <x v="189"/>
    <x v="205"/>
    <x v="0"/>
  </r>
  <r>
    <x v="112"/>
    <x v="106"/>
    <x v="3"/>
    <x v="12"/>
    <x v="12"/>
    <x v="124"/>
    <x v="3"/>
    <x v="143"/>
    <x v="190"/>
    <x v="206"/>
    <x v="30"/>
  </r>
  <r>
    <x v="112"/>
    <x v="106"/>
    <x v="2"/>
    <x v="22"/>
    <x v="22"/>
    <x v="125"/>
    <x v="31"/>
    <x v="144"/>
    <x v="191"/>
    <x v="207"/>
    <x v="35"/>
  </r>
  <r>
    <x v="112"/>
    <x v="106"/>
    <x v="2"/>
    <x v="19"/>
    <x v="19"/>
    <x v="126"/>
    <x v="31"/>
    <x v="145"/>
    <x v="192"/>
    <x v="208"/>
    <x v="36"/>
  </r>
  <r>
    <x v="113"/>
    <x v="107"/>
    <x v="3"/>
    <x v="22"/>
    <x v="22"/>
    <x v="127"/>
    <x v="19"/>
    <x v="146"/>
    <x v="193"/>
    <x v="209"/>
    <x v="37"/>
  </r>
  <r>
    <x v="113"/>
    <x v="107"/>
    <x v="3"/>
    <x v="22"/>
    <x v="22"/>
    <x v="128"/>
    <x v="30"/>
    <x v="80"/>
    <x v="194"/>
    <x v="210"/>
    <x v="21"/>
  </r>
  <r>
    <x v="113"/>
    <x v="107"/>
    <x v="2"/>
    <x v="22"/>
    <x v="22"/>
    <x v="129"/>
    <x v="19"/>
    <x v="147"/>
    <x v="195"/>
    <x v="211"/>
    <x v="34"/>
  </r>
  <r>
    <x v="113"/>
    <x v="107"/>
    <x v="2"/>
    <x v="12"/>
    <x v="12"/>
    <x v="130"/>
    <x v="13"/>
    <x v="148"/>
    <x v="196"/>
    <x v="212"/>
    <x v="38"/>
  </r>
  <r>
    <x v="114"/>
    <x v="108"/>
    <x v="3"/>
    <x v="22"/>
    <x v="22"/>
    <x v="131"/>
    <x v="19"/>
    <x v="149"/>
    <x v="197"/>
    <x v="213"/>
    <x v="21"/>
  </r>
  <r>
    <x v="115"/>
    <x v="109"/>
    <x v="3"/>
    <x v="12"/>
    <x v="12"/>
    <x v="132"/>
    <x v="17"/>
    <x v="150"/>
    <x v="198"/>
    <x v="214"/>
    <x v="20"/>
  </r>
  <r>
    <x v="115"/>
    <x v="109"/>
    <x v="2"/>
    <x v="12"/>
    <x v="12"/>
    <x v="133"/>
    <x v="17"/>
    <x v="151"/>
    <x v="199"/>
    <x v="215"/>
    <x v="38"/>
  </r>
  <r>
    <x v="115"/>
    <x v="109"/>
    <x v="3"/>
    <x v="22"/>
    <x v="22"/>
    <x v="127"/>
    <x v="19"/>
    <x v="146"/>
    <x v="193"/>
    <x v="216"/>
    <x v="0"/>
  </r>
  <r>
    <x v="115"/>
    <x v="109"/>
    <x v="2"/>
    <x v="22"/>
    <x v="22"/>
    <x v="134"/>
    <x v="19"/>
    <x v="152"/>
    <x v="200"/>
    <x v="217"/>
    <x v="21"/>
  </r>
  <r>
    <x v="116"/>
    <x v="110"/>
    <x v="4"/>
    <x v="1"/>
    <x v="1"/>
    <x v="0"/>
    <x v="0"/>
    <x v="0"/>
    <x v="201"/>
    <x v="218"/>
    <x v="0"/>
  </r>
  <r>
    <x v="116"/>
    <x v="110"/>
    <x v="2"/>
    <x v="22"/>
    <x v="22"/>
    <x v="135"/>
    <x v="19"/>
    <x v="153"/>
    <x v="202"/>
    <x v="219"/>
    <x v="34"/>
  </r>
  <r>
    <x v="116"/>
    <x v="110"/>
    <x v="2"/>
    <x v="22"/>
    <x v="22"/>
    <x v="136"/>
    <x v="19"/>
    <x v="154"/>
    <x v="203"/>
    <x v="220"/>
    <x v="37"/>
  </r>
  <r>
    <x v="116"/>
    <x v="110"/>
    <x v="3"/>
    <x v="21"/>
    <x v="21"/>
    <x v="137"/>
    <x v="26"/>
    <x v="155"/>
    <x v="204"/>
    <x v="221"/>
    <x v="0"/>
  </r>
  <r>
    <x v="116"/>
    <x v="110"/>
    <x v="2"/>
    <x v="16"/>
    <x v="16"/>
    <x v="138"/>
    <x v="11"/>
    <x v="156"/>
    <x v="205"/>
    <x v="222"/>
    <x v="23"/>
  </r>
  <r>
    <x v="117"/>
    <x v="110"/>
    <x v="11"/>
    <x v="20"/>
    <x v="20"/>
    <x v="0"/>
    <x v="11"/>
    <x v="0"/>
    <x v="0"/>
    <x v="222"/>
    <x v="0"/>
  </r>
  <r>
    <x v="117"/>
    <x v="111"/>
    <x v="3"/>
    <x v="22"/>
    <x v="22"/>
    <x v="139"/>
    <x v="32"/>
    <x v="157"/>
    <x v="206"/>
    <x v="223"/>
    <x v="0"/>
  </r>
  <r>
    <x v="117"/>
    <x v="110"/>
    <x v="10"/>
    <x v="16"/>
    <x v="16"/>
    <x v="0"/>
    <x v="0"/>
    <x v="158"/>
    <x v="207"/>
    <x v="224"/>
    <x v="0"/>
  </r>
  <r>
    <x v="118"/>
    <x v="112"/>
    <x v="2"/>
    <x v="16"/>
    <x v="16"/>
    <x v="140"/>
    <x v="11"/>
    <x v="159"/>
    <x v="208"/>
    <x v="225"/>
    <x v="23"/>
  </r>
  <r>
    <x v="118"/>
    <x v="112"/>
    <x v="2"/>
    <x v="16"/>
    <x v="16"/>
    <x v="141"/>
    <x v="11"/>
    <x v="160"/>
    <x v="209"/>
    <x v="226"/>
    <x v="28"/>
  </r>
  <r>
    <x v="119"/>
    <x v="112"/>
    <x v="11"/>
    <x v="20"/>
    <x v="20"/>
    <x v="0"/>
    <x v="11"/>
    <x v="0"/>
    <x v="0"/>
    <x v="226"/>
    <x v="0"/>
  </r>
  <r>
    <x v="119"/>
    <x v="112"/>
    <x v="11"/>
    <x v="20"/>
    <x v="20"/>
    <x v="0"/>
    <x v="11"/>
    <x v="0"/>
    <x v="0"/>
    <x v="226"/>
    <x v="0"/>
  </r>
  <r>
    <x v="119"/>
    <x v="112"/>
    <x v="10"/>
    <x v="16"/>
    <x v="16"/>
    <x v="0"/>
    <x v="0"/>
    <x v="161"/>
    <x v="210"/>
    <x v="227"/>
    <x v="0"/>
  </r>
  <r>
    <x v="120"/>
    <x v="113"/>
    <x v="2"/>
    <x v="16"/>
    <x v="16"/>
    <x v="142"/>
    <x v="16"/>
    <x v="162"/>
    <x v="211"/>
    <x v="228"/>
    <x v="28"/>
  </r>
  <r>
    <x v="121"/>
    <x v="114"/>
    <x v="3"/>
    <x v="16"/>
    <x v="16"/>
    <x v="143"/>
    <x v="16"/>
    <x v="163"/>
    <x v="212"/>
    <x v="229"/>
    <x v="0"/>
  </r>
  <r>
    <x v="121"/>
    <x v="114"/>
    <x v="2"/>
    <x v="17"/>
    <x v="17"/>
    <x v="144"/>
    <x v="3"/>
    <x v="164"/>
    <x v="213"/>
    <x v="230"/>
    <x v="3"/>
  </r>
  <r>
    <x v="122"/>
    <x v="114"/>
    <x v="10"/>
    <x v="16"/>
    <x v="16"/>
    <x v="0"/>
    <x v="0"/>
    <x v="165"/>
    <x v="214"/>
    <x v="231"/>
    <x v="0"/>
  </r>
  <r>
    <x v="122"/>
    <x v="115"/>
    <x v="3"/>
    <x v="10"/>
    <x v="10"/>
    <x v="43"/>
    <x v="3"/>
    <x v="166"/>
    <x v="215"/>
    <x v="232"/>
    <x v="18"/>
  </r>
  <r>
    <x v="122"/>
    <x v="115"/>
    <x v="3"/>
    <x v="10"/>
    <x v="10"/>
    <x v="145"/>
    <x v="3"/>
    <x v="167"/>
    <x v="216"/>
    <x v="233"/>
    <x v="11"/>
  </r>
  <r>
    <x v="122"/>
    <x v="115"/>
    <x v="2"/>
    <x v="10"/>
    <x v="10"/>
    <x v="146"/>
    <x v="3"/>
    <x v="168"/>
    <x v="217"/>
    <x v="234"/>
    <x v="18"/>
  </r>
  <r>
    <x v="122"/>
    <x v="115"/>
    <x v="2"/>
    <x v="17"/>
    <x v="17"/>
    <x v="147"/>
    <x v="33"/>
    <x v="169"/>
    <x v="218"/>
    <x v="235"/>
    <x v="39"/>
  </r>
  <r>
    <x v="123"/>
    <x v="97"/>
    <x v="9"/>
    <x v="10"/>
    <x v="10"/>
    <x v="0"/>
    <x v="0"/>
    <x v="0"/>
    <x v="219"/>
    <x v="236"/>
    <x v="0"/>
  </r>
  <r>
    <x v="123"/>
    <x v="116"/>
    <x v="2"/>
    <x v="22"/>
    <x v="22"/>
    <x v="148"/>
    <x v="2"/>
    <x v="170"/>
    <x v="220"/>
    <x v="237"/>
    <x v="2"/>
  </r>
  <r>
    <x v="124"/>
    <x v="117"/>
    <x v="3"/>
    <x v="17"/>
    <x v="17"/>
    <x v="149"/>
    <x v="3"/>
    <x v="171"/>
    <x v="221"/>
    <x v="238"/>
    <x v="8"/>
  </r>
  <r>
    <x v="124"/>
    <x v="117"/>
    <x v="2"/>
    <x v="22"/>
    <x v="22"/>
    <x v="150"/>
    <x v="34"/>
    <x v="172"/>
    <x v="222"/>
    <x v="239"/>
    <x v="22"/>
  </r>
  <r>
    <x v="125"/>
    <x v="118"/>
    <x v="3"/>
    <x v="22"/>
    <x v="22"/>
    <x v="151"/>
    <x v="35"/>
    <x v="173"/>
    <x v="223"/>
    <x v="240"/>
    <x v="0"/>
  </r>
  <r>
    <x v="126"/>
    <x v="119"/>
    <x v="3"/>
    <x v="17"/>
    <x v="17"/>
    <x v="4"/>
    <x v="13"/>
    <x v="174"/>
    <x v="224"/>
    <x v="241"/>
    <x v="7"/>
  </r>
  <r>
    <x v="126"/>
    <x v="119"/>
    <x v="2"/>
    <x v="22"/>
    <x v="22"/>
    <x v="152"/>
    <x v="19"/>
    <x v="175"/>
    <x v="225"/>
    <x v="242"/>
    <x v="21"/>
  </r>
  <r>
    <x v="127"/>
    <x v="120"/>
    <x v="2"/>
    <x v="22"/>
    <x v="22"/>
    <x v="153"/>
    <x v="19"/>
    <x v="176"/>
    <x v="226"/>
    <x v="243"/>
    <x v="34"/>
  </r>
  <r>
    <x v="127"/>
    <x v="120"/>
    <x v="3"/>
    <x v="22"/>
    <x v="22"/>
    <x v="154"/>
    <x v="19"/>
    <x v="177"/>
    <x v="227"/>
    <x v="244"/>
    <x v="21"/>
  </r>
  <r>
    <x v="127"/>
    <x v="120"/>
    <x v="3"/>
    <x v="12"/>
    <x v="12"/>
    <x v="155"/>
    <x v="13"/>
    <x v="178"/>
    <x v="228"/>
    <x v="245"/>
    <x v="30"/>
  </r>
  <r>
    <x v="127"/>
    <x v="120"/>
    <x v="2"/>
    <x v="22"/>
    <x v="22"/>
    <x v="156"/>
    <x v="19"/>
    <x v="179"/>
    <x v="229"/>
    <x v="246"/>
    <x v="34"/>
  </r>
  <r>
    <x v="128"/>
    <x v="121"/>
    <x v="3"/>
    <x v="22"/>
    <x v="22"/>
    <x v="157"/>
    <x v="19"/>
    <x v="180"/>
    <x v="230"/>
    <x v="247"/>
    <x v="21"/>
  </r>
  <r>
    <x v="129"/>
    <x v="122"/>
    <x v="5"/>
    <x v="1"/>
    <x v="1"/>
    <x v="0"/>
    <x v="0"/>
    <x v="0"/>
    <x v="231"/>
    <x v="248"/>
    <x v="0"/>
  </r>
  <r>
    <x v="129"/>
    <x v="122"/>
    <x v="2"/>
    <x v="22"/>
    <x v="22"/>
    <x v="158"/>
    <x v="19"/>
    <x v="181"/>
    <x v="232"/>
    <x v="249"/>
    <x v="34"/>
  </r>
  <r>
    <x v="129"/>
    <x v="122"/>
    <x v="2"/>
    <x v="12"/>
    <x v="12"/>
    <x v="159"/>
    <x v="36"/>
    <x v="182"/>
    <x v="233"/>
    <x v="250"/>
    <x v="40"/>
  </r>
  <r>
    <x v="130"/>
    <x v="123"/>
    <x v="3"/>
    <x v="22"/>
    <x v="22"/>
    <x v="160"/>
    <x v="19"/>
    <x v="183"/>
    <x v="234"/>
    <x v="251"/>
    <x v="21"/>
  </r>
  <r>
    <x v="131"/>
    <x v="124"/>
    <x v="2"/>
    <x v="22"/>
    <x v="22"/>
    <x v="161"/>
    <x v="19"/>
    <x v="184"/>
    <x v="235"/>
    <x v="252"/>
    <x v="34"/>
  </r>
  <r>
    <x v="131"/>
    <x v="124"/>
    <x v="3"/>
    <x v="22"/>
    <x v="22"/>
    <x v="162"/>
    <x v="19"/>
    <x v="185"/>
    <x v="236"/>
    <x v="253"/>
    <x v="21"/>
  </r>
  <r>
    <x v="132"/>
    <x v="125"/>
    <x v="12"/>
    <x v="17"/>
    <x v="17"/>
    <x v="0"/>
    <x v="8"/>
    <x v="0"/>
    <x v="0"/>
    <x v="253"/>
    <x v="0"/>
  </r>
  <r>
    <x v="132"/>
    <x v="125"/>
    <x v="12"/>
    <x v="12"/>
    <x v="12"/>
    <x v="0"/>
    <x v="26"/>
    <x v="0"/>
    <x v="0"/>
    <x v="253"/>
    <x v="15"/>
  </r>
  <r>
    <x v="132"/>
    <x v="125"/>
    <x v="12"/>
    <x v="12"/>
    <x v="12"/>
    <x v="0"/>
    <x v="22"/>
    <x v="0"/>
    <x v="0"/>
    <x v="253"/>
    <x v="11"/>
  </r>
  <r>
    <x v="132"/>
    <x v="125"/>
    <x v="12"/>
    <x v="19"/>
    <x v="19"/>
    <x v="0"/>
    <x v="37"/>
    <x v="0"/>
    <x v="0"/>
    <x v="253"/>
    <x v="0"/>
  </r>
  <r>
    <x v="132"/>
    <x v="125"/>
    <x v="12"/>
    <x v="10"/>
    <x v="10"/>
    <x v="0"/>
    <x v="17"/>
    <x v="0"/>
    <x v="0"/>
    <x v="253"/>
    <x v="0"/>
  </r>
  <r>
    <x v="132"/>
    <x v="125"/>
    <x v="3"/>
    <x v="22"/>
    <x v="22"/>
    <x v="163"/>
    <x v="19"/>
    <x v="186"/>
    <x v="237"/>
    <x v="254"/>
    <x v="0"/>
  </r>
  <r>
    <x v="132"/>
    <x v="125"/>
    <x v="2"/>
    <x v="16"/>
    <x v="16"/>
    <x v="164"/>
    <x v="11"/>
    <x v="187"/>
    <x v="238"/>
    <x v="255"/>
    <x v="23"/>
  </r>
  <r>
    <x v="133"/>
    <x v="125"/>
    <x v="11"/>
    <x v="20"/>
    <x v="20"/>
    <x v="0"/>
    <x v="11"/>
    <x v="0"/>
    <x v="0"/>
    <x v="255"/>
    <x v="0"/>
  </r>
  <r>
    <x v="133"/>
    <x v="125"/>
    <x v="10"/>
    <x v="16"/>
    <x v="16"/>
    <x v="0"/>
    <x v="0"/>
    <x v="188"/>
    <x v="239"/>
    <x v="256"/>
    <x v="0"/>
  </r>
  <r>
    <x v="134"/>
    <x v="126"/>
    <x v="4"/>
    <x v="1"/>
    <x v="1"/>
    <x v="0"/>
    <x v="0"/>
    <x v="0"/>
    <x v="240"/>
    <x v="0"/>
    <x v="0"/>
  </r>
  <r>
    <x v="134"/>
    <x v="126"/>
    <x v="12"/>
    <x v="12"/>
    <x v="12"/>
    <x v="0"/>
    <x v="13"/>
    <x v="0"/>
    <x v="0"/>
    <x v="0"/>
    <x v="0"/>
  </r>
  <r>
    <x v="135"/>
    <x v="127"/>
    <x v="13"/>
    <x v="23"/>
    <x v="23"/>
    <x v="0"/>
    <x v="38"/>
    <x v="0"/>
    <x v="0"/>
    <x v="0"/>
    <x v="41"/>
  </r>
  <r>
    <x v="136"/>
    <x v="128"/>
    <x v="14"/>
    <x v="23"/>
    <x v="23"/>
    <x v="0"/>
    <x v="38"/>
    <x v="0"/>
    <x v="0"/>
    <x v="0"/>
    <x v="0"/>
  </r>
  <r>
    <x v="136"/>
    <x v="128"/>
    <x v="15"/>
    <x v="19"/>
    <x v="19"/>
    <x v="0"/>
    <x v="39"/>
    <x v="0"/>
    <x v="0"/>
    <x v="0"/>
    <x v="42"/>
  </r>
  <r>
    <x v="136"/>
    <x v="128"/>
    <x v="15"/>
    <x v="22"/>
    <x v="22"/>
    <x v="0"/>
    <x v="39"/>
    <x v="0"/>
    <x v="0"/>
    <x v="0"/>
    <x v="42"/>
  </r>
  <r>
    <x v="137"/>
    <x v="129"/>
    <x v="12"/>
    <x v="19"/>
    <x v="19"/>
    <x v="0"/>
    <x v="39"/>
    <x v="0"/>
    <x v="0"/>
    <x v="0"/>
    <x v="0"/>
  </r>
  <r>
    <x v="137"/>
    <x v="129"/>
    <x v="3"/>
    <x v="22"/>
    <x v="22"/>
    <x v="165"/>
    <x v="39"/>
    <x v="189"/>
    <x v="241"/>
    <x v="257"/>
    <x v="0"/>
  </r>
  <r>
    <x v="138"/>
    <x v="130"/>
    <x v="4"/>
    <x v="1"/>
    <x v="1"/>
    <x v="0"/>
    <x v="0"/>
    <x v="0"/>
    <x v="242"/>
    <x v="0"/>
    <x v="0"/>
  </r>
  <r>
    <x v="139"/>
    <x v="131"/>
    <x v="1"/>
    <x v="1"/>
    <x v="1"/>
    <x v="0"/>
    <x v="0"/>
    <x v="0"/>
    <x v="65"/>
    <x v="258"/>
    <x v="0"/>
  </r>
  <r>
    <x v="139"/>
    <x v="131"/>
    <x v="13"/>
    <x v="19"/>
    <x v="19"/>
    <x v="166"/>
    <x v="40"/>
    <x v="190"/>
    <x v="0"/>
    <x v="258"/>
    <x v="43"/>
  </r>
  <r>
    <x v="139"/>
    <x v="131"/>
    <x v="2"/>
    <x v="16"/>
    <x v="16"/>
    <x v="167"/>
    <x v="16"/>
    <x v="191"/>
    <x v="243"/>
    <x v="259"/>
    <x v="28"/>
  </r>
  <r>
    <x v="139"/>
    <x v="131"/>
    <x v="2"/>
    <x v="16"/>
    <x v="16"/>
    <x v="168"/>
    <x v="16"/>
    <x v="192"/>
    <x v="244"/>
    <x v="260"/>
    <x v="2"/>
  </r>
  <r>
    <x v="140"/>
    <x v="131"/>
    <x v="11"/>
    <x v="20"/>
    <x v="20"/>
    <x v="0"/>
    <x v="2"/>
    <x v="0"/>
    <x v="0"/>
    <x v="260"/>
    <x v="0"/>
  </r>
  <r>
    <x v="140"/>
    <x v="132"/>
    <x v="13"/>
    <x v="16"/>
    <x v="16"/>
    <x v="169"/>
    <x v="1"/>
    <x v="193"/>
    <x v="0"/>
    <x v="260"/>
    <x v="1"/>
  </r>
  <r>
    <x v="140"/>
    <x v="131"/>
    <x v="10"/>
    <x v="16"/>
    <x v="16"/>
    <x v="0"/>
    <x v="0"/>
    <x v="194"/>
    <x v="245"/>
    <x v="261"/>
    <x v="0"/>
  </r>
  <r>
    <x v="141"/>
    <x v="133"/>
    <x v="2"/>
    <x v="16"/>
    <x v="16"/>
    <x v="170"/>
    <x v="2"/>
    <x v="195"/>
    <x v="246"/>
    <x v="262"/>
    <x v="5"/>
  </r>
  <r>
    <x v="142"/>
    <x v="134"/>
    <x v="3"/>
    <x v="16"/>
    <x v="16"/>
    <x v="171"/>
    <x v="16"/>
    <x v="196"/>
    <x v="247"/>
    <x v="263"/>
    <x v="3"/>
  </r>
  <r>
    <x v="143"/>
    <x v="135"/>
    <x v="2"/>
    <x v="12"/>
    <x v="12"/>
    <x v="172"/>
    <x v="3"/>
    <x v="197"/>
    <x v="248"/>
    <x v="264"/>
    <x v="3"/>
  </r>
  <r>
    <x v="143"/>
    <x v="135"/>
    <x v="2"/>
    <x v="19"/>
    <x v="19"/>
    <x v="173"/>
    <x v="41"/>
    <x v="198"/>
    <x v="249"/>
    <x v="265"/>
    <x v="44"/>
  </r>
  <r>
    <x v="143"/>
    <x v="135"/>
    <x v="3"/>
    <x v="16"/>
    <x v="16"/>
    <x v="174"/>
    <x v="3"/>
    <x v="199"/>
    <x v="250"/>
    <x v="266"/>
    <x v="0"/>
  </r>
  <r>
    <x v="143"/>
    <x v="135"/>
    <x v="2"/>
    <x v="19"/>
    <x v="19"/>
    <x v="175"/>
    <x v="42"/>
    <x v="200"/>
    <x v="251"/>
    <x v="267"/>
    <x v="45"/>
  </r>
  <r>
    <x v="144"/>
    <x v="136"/>
    <x v="3"/>
    <x v="12"/>
    <x v="12"/>
    <x v="176"/>
    <x v="3"/>
    <x v="201"/>
    <x v="252"/>
    <x v="268"/>
    <x v="0"/>
  </r>
  <r>
    <x v="144"/>
    <x v="136"/>
    <x v="3"/>
    <x v="19"/>
    <x v="19"/>
    <x v="177"/>
    <x v="43"/>
    <x v="202"/>
    <x v="253"/>
    <x v="269"/>
    <x v="46"/>
  </r>
  <r>
    <x v="144"/>
    <x v="136"/>
    <x v="3"/>
    <x v="19"/>
    <x v="19"/>
    <x v="177"/>
    <x v="44"/>
    <x v="203"/>
    <x v="254"/>
    <x v="270"/>
    <x v="44"/>
  </r>
  <r>
    <x v="144"/>
    <x v="136"/>
    <x v="3"/>
    <x v="19"/>
    <x v="19"/>
    <x v="178"/>
    <x v="41"/>
    <x v="204"/>
    <x v="255"/>
    <x v="271"/>
    <x v="43"/>
  </r>
  <r>
    <x v="144"/>
    <x v="135"/>
    <x v="10"/>
    <x v="16"/>
    <x v="16"/>
    <x v="0"/>
    <x v="0"/>
    <x v="205"/>
    <x v="256"/>
    <x v="272"/>
    <x v="0"/>
  </r>
  <r>
    <x v="145"/>
    <x v="136"/>
    <x v="16"/>
    <x v="23"/>
    <x v="23"/>
    <x v="179"/>
    <x v="45"/>
    <x v="206"/>
    <x v="257"/>
    <x v="273"/>
    <x v="47"/>
  </r>
  <r>
    <x v="146"/>
    <x v="137"/>
    <x v="14"/>
    <x v="23"/>
    <x v="23"/>
    <x v="0"/>
    <x v="46"/>
    <x v="0"/>
    <x v="0"/>
    <x v="273"/>
    <x v="48"/>
  </r>
  <r>
    <x v="146"/>
    <x v="137"/>
    <x v="15"/>
    <x v="19"/>
    <x v="19"/>
    <x v="180"/>
    <x v="47"/>
    <x v="0"/>
    <x v="0"/>
    <x v="273"/>
    <x v="49"/>
  </r>
  <r>
    <x v="146"/>
    <x v="137"/>
    <x v="15"/>
    <x v="22"/>
    <x v="22"/>
    <x v="181"/>
    <x v="47"/>
    <x v="0"/>
    <x v="0"/>
    <x v="273"/>
    <x v="50"/>
  </r>
  <r>
    <x v="146"/>
    <x v="137"/>
    <x v="2"/>
    <x v="19"/>
    <x v="19"/>
    <x v="182"/>
    <x v="48"/>
    <x v="207"/>
    <x v="258"/>
    <x v="274"/>
    <x v="51"/>
  </r>
  <r>
    <x v="147"/>
    <x v="138"/>
    <x v="3"/>
    <x v="22"/>
    <x v="22"/>
    <x v="183"/>
    <x v="47"/>
    <x v="208"/>
    <x v="259"/>
    <x v="275"/>
    <x v="0"/>
  </r>
  <r>
    <x v="147"/>
    <x v="138"/>
    <x v="2"/>
    <x v="19"/>
    <x v="19"/>
    <x v="184"/>
    <x v="49"/>
    <x v="209"/>
    <x v="260"/>
    <x v="276"/>
    <x v="52"/>
  </r>
  <r>
    <x v="148"/>
    <x v="139"/>
    <x v="15"/>
    <x v="23"/>
    <x v="23"/>
    <x v="0"/>
    <x v="50"/>
    <x v="0"/>
    <x v="0"/>
    <x v="276"/>
    <x v="53"/>
  </r>
  <r>
    <x v="148"/>
    <x v="139"/>
    <x v="17"/>
    <x v="23"/>
    <x v="23"/>
    <x v="0"/>
    <x v="51"/>
    <x v="0"/>
    <x v="0"/>
    <x v="276"/>
    <x v="54"/>
  </r>
  <r>
    <x v="148"/>
    <x v="139"/>
    <x v="15"/>
    <x v="23"/>
    <x v="23"/>
    <x v="0"/>
    <x v="51"/>
    <x v="0"/>
    <x v="0"/>
    <x v="276"/>
    <x v="53"/>
  </r>
  <r>
    <x v="149"/>
    <x v="140"/>
    <x v="1"/>
    <x v="1"/>
    <x v="1"/>
    <x v="0"/>
    <x v="0"/>
    <x v="0"/>
    <x v="261"/>
    <x v="277"/>
    <x v="0"/>
  </r>
  <r>
    <x v="149"/>
    <x v="140"/>
    <x v="2"/>
    <x v="16"/>
    <x v="16"/>
    <x v="185"/>
    <x v="16"/>
    <x v="210"/>
    <x v="262"/>
    <x v="278"/>
    <x v="28"/>
  </r>
  <r>
    <x v="150"/>
    <x v="141"/>
    <x v="5"/>
    <x v="1"/>
    <x v="1"/>
    <x v="0"/>
    <x v="0"/>
    <x v="0"/>
    <x v="263"/>
    <x v="279"/>
    <x v="0"/>
  </r>
  <r>
    <x v="151"/>
    <x v="141"/>
    <x v="11"/>
    <x v="20"/>
    <x v="20"/>
    <x v="0"/>
    <x v="16"/>
    <x v="0"/>
    <x v="0"/>
    <x v="279"/>
    <x v="0"/>
  </r>
  <r>
    <x v="151"/>
    <x v="141"/>
    <x v="10"/>
    <x v="16"/>
    <x v="16"/>
    <x v="0"/>
    <x v="0"/>
    <x v="211"/>
    <x v="264"/>
    <x v="280"/>
    <x v="0"/>
  </r>
  <r>
    <x v="152"/>
    <x v="142"/>
    <x v="4"/>
    <x v="1"/>
    <x v="1"/>
    <x v="0"/>
    <x v="0"/>
    <x v="0"/>
    <x v="265"/>
    <x v="281"/>
    <x v="0"/>
  </r>
  <r>
    <x v="153"/>
    <x v="143"/>
    <x v="12"/>
    <x v="19"/>
    <x v="19"/>
    <x v="0"/>
    <x v="52"/>
    <x v="0"/>
    <x v="0"/>
    <x v="281"/>
    <x v="55"/>
  </r>
  <r>
    <x v="153"/>
    <x v="143"/>
    <x v="3"/>
    <x v="19"/>
    <x v="19"/>
    <x v="186"/>
    <x v="49"/>
    <x v="212"/>
    <x v="266"/>
    <x v="282"/>
    <x v="0"/>
  </r>
  <r>
    <x v="153"/>
    <x v="143"/>
    <x v="2"/>
    <x v="24"/>
    <x v="24"/>
    <x v="187"/>
    <x v="13"/>
    <x v="213"/>
    <x v="267"/>
    <x v="283"/>
    <x v="11"/>
  </r>
  <r>
    <x v="153"/>
    <x v="143"/>
    <x v="2"/>
    <x v="16"/>
    <x v="16"/>
    <x v="119"/>
    <x v="16"/>
    <x v="214"/>
    <x v="268"/>
    <x v="284"/>
    <x v="28"/>
  </r>
  <r>
    <x v="154"/>
    <x v="144"/>
    <x v="11"/>
    <x v="20"/>
    <x v="20"/>
    <x v="0"/>
    <x v="16"/>
    <x v="0"/>
    <x v="0"/>
    <x v="284"/>
    <x v="0"/>
  </r>
  <r>
    <x v="154"/>
    <x v="144"/>
    <x v="10"/>
    <x v="16"/>
    <x v="16"/>
    <x v="0"/>
    <x v="0"/>
    <x v="215"/>
    <x v="269"/>
    <x v="285"/>
    <x v="0"/>
  </r>
  <r>
    <x v="155"/>
    <x v="145"/>
    <x v="2"/>
    <x v="16"/>
    <x v="16"/>
    <x v="188"/>
    <x v="16"/>
    <x v="216"/>
    <x v="270"/>
    <x v="286"/>
    <x v="28"/>
  </r>
  <r>
    <x v="156"/>
    <x v="145"/>
    <x v="11"/>
    <x v="20"/>
    <x v="20"/>
    <x v="0"/>
    <x v="16"/>
    <x v="0"/>
    <x v="0"/>
    <x v="286"/>
    <x v="0"/>
  </r>
  <r>
    <x v="156"/>
    <x v="145"/>
    <x v="10"/>
    <x v="16"/>
    <x v="16"/>
    <x v="0"/>
    <x v="0"/>
    <x v="217"/>
    <x v="271"/>
    <x v="287"/>
    <x v="0"/>
  </r>
  <r>
    <x v="157"/>
    <x v="146"/>
    <x v="2"/>
    <x v="25"/>
    <x v="25"/>
    <x v="189"/>
    <x v="3"/>
    <x v="218"/>
    <x v="272"/>
    <x v="288"/>
    <x v="3"/>
  </r>
  <r>
    <x v="158"/>
    <x v="147"/>
    <x v="1"/>
    <x v="1"/>
    <x v="1"/>
    <x v="0"/>
    <x v="0"/>
    <x v="0"/>
    <x v="273"/>
    <x v="289"/>
    <x v="0"/>
  </r>
  <r>
    <x v="158"/>
    <x v="147"/>
    <x v="2"/>
    <x v="16"/>
    <x v="16"/>
    <x v="190"/>
    <x v="16"/>
    <x v="219"/>
    <x v="274"/>
    <x v="290"/>
    <x v="28"/>
  </r>
  <r>
    <x v="159"/>
    <x v="147"/>
    <x v="11"/>
    <x v="20"/>
    <x v="20"/>
    <x v="0"/>
    <x v="16"/>
    <x v="0"/>
    <x v="0"/>
    <x v="290"/>
    <x v="0"/>
  </r>
  <r>
    <x v="159"/>
    <x v="147"/>
    <x v="10"/>
    <x v="16"/>
    <x v="16"/>
    <x v="0"/>
    <x v="0"/>
    <x v="220"/>
    <x v="275"/>
    <x v="291"/>
    <x v="0"/>
  </r>
  <r>
    <x v="160"/>
    <x v="148"/>
    <x v="4"/>
    <x v="1"/>
    <x v="1"/>
    <x v="0"/>
    <x v="0"/>
    <x v="0"/>
    <x v="276"/>
    <x v="292"/>
    <x v="0"/>
  </r>
  <r>
    <x v="161"/>
    <x v="149"/>
    <x v="2"/>
    <x v="12"/>
    <x v="12"/>
    <x v="191"/>
    <x v="3"/>
    <x v="221"/>
    <x v="277"/>
    <x v="293"/>
    <x v="3"/>
  </r>
  <r>
    <x v="162"/>
    <x v="150"/>
    <x v="3"/>
    <x v="12"/>
    <x v="12"/>
    <x v="192"/>
    <x v="3"/>
    <x v="222"/>
    <x v="278"/>
    <x v="294"/>
    <x v="0"/>
  </r>
  <r>
    <x v="162"/>
    <x v="150"/>
    <x v="3"/>
    <x v="25"/>
    <x v="25"/>
    <x v="193"/>
    <x v="3"/>
    <x v="223"/>
    <x v="279"/>
    <x v="295"/>
    <x v="0"/>
  </r>
  <r>
    <x v="162"/>
    <x v="150"/>
    <x v="2"/>
    <x v="12"/>
    <x v="12"/>
    <x v="194"/>
    <x v="3"/>
    <x v="224"/>
    <x v="280"/>
    <x v="296"/>
    <x v="3"/>
  </r>
  <r>
    <x v="163"/>
    <x v="151"/>
    <x v="3"/>
    <x v="12"/>
    <x v="12"/>
    <x v="195"/>
    <x v="3"/>
    <x v="225"/>
    <x v="281"/>
    <x v="297"/>
    <x v="0"/>
  </r>
  <r>
    <x v="164"/>
    <x v="152"/>
    <x v="5"/>
    <x v="1"/>
    <x v="1"/>
    <x v="0"/>
    <x v="0"/>
    <x v="0"/>
    <x v="282"/>
    <x v="298"/>
    <x v="0"/>
  </r>
  <r>
    <x v="165"/>
    <x v="153"/>
    <x v="2"/>
    <x v="24"/>
    <x v="24"/>
    <x v="196"/>
    <x v="13"/>
    <x v="226"/>
    <x v="283"/>
    <x v="299"/>
    <x v="19"/>
  </r>
  <r>
    <x v="166"/>
    <x v="154"/>
    <x v="2"/>
    <x v="24"/>
    <x v="24"/>
    <x v="197"/>
    <x v="2"/>
    <x v="227"/>
    <x v="284"/>
    <x v="300"/>
    <x v="56"/>
  </r>
  <r>
    <x v="167"/>
    <x v="155"/>
    <x v="17"/>
    <x v="23"/>
    <x v="26"/>
    <x v="0"/>
    <x v="53"/>
    <x v="0"/>
    <x v="0"/>
    <x v="300"/>
    <x v="0"/>
  </r>
  <r>
    <x v="167"/>
    <x v="155"/>
    <x v="15"/>
    <x v="23"/>
    <x v="26"/>
    <x v="0"/>
    <x v="54"/>
    <x v="0"/>
    <x v="0"/>
    <x v="300"/>
    <x v="57"/>
  </r>
  <r>
    <x v="168"/>
    <x v="156"/>
    <x v="13"/>
    <x v="23"/>
    <x v="26"/>
    <x v="198"/>
    <x v="55"/>
    <x v="228"/>
    <x v="0"/>
    <x v="300"/>
    <x v="58"/>
  </r>
  <r>
    <x v="169"/>
    <x v="157"/>
    <x v="1"/>
    <x v="1"/>
    <x v="1"/>
    <x v="0"/>
    <x v="0"/>
    <x v="0"/>
    <x v="285"/>
    <x v="301"/>
    <x v="0"/>
  </r>
  <r>
    <x v="169"/>
    <x v="157"/>
    <x v="2"/>
    <x v="19"/>
    <x v="19"/>
    <x v="199"/>
    <x v="56"/>
    <x v="229"/>
    <x v="286"/>
    <x v="302"/>
    <x v="59"/>
  </r>
  <r>
    <x v="170"/>
    <x v="158"/>
    <x v="6"/>
    <x v="24"/>
    <x v="24"/>
    <x v="0"/>
    <x v="57"/>
    <x v="230"/>
    <x v="287"/>
    <x v="303"/>
    <x v="0"/>
  </r>
  <r>
    <x v="171"/>
    <x v="159"/>
    <x v="5"/>
    <x v="1"/>
    <x v="1"/>
    <x v="0"/>
    <x v="0"/>
    <x v="0"/>
    <x v="288"/>
    <x v="304"/>
    <x v="0"/>
  </r>
  <r>
    <x v="172"/>
    <x v="160"/>
    <x v="1"/>
    <x v="1"/>
    <x v="1"/>
    <x v="0"/>
    <x v="0"/>
    <x v="0"/>
    <x v="289"/>
    <x v="305"/>
    <x v="0"/>
  </r>
  <r>
    <x v="172"/>
    <x v="160"/>
    <x v="2"/>
    <x v="19"/>
    <x v="19"/>
    <x v="200"/>
    <x v="58"/>
    <x v="231"/>
    <x v="290"/>
    <x v="306"/>
    <x v="60"/>
  </r>
  <r>
    <x v="173"/>
    <x v="161"/>
    <x v="1"/>
    <x v="1"/>
    <x v="1"/>
    <x v="0"/>
    <x v="0"/>
    <x v="0"/>
    <x v="291"/>
    <x v="307"/>
    <x v="0"/>
  </r>
  <r>
    <x v="173"/>
    <x v="161"/>
    <x v="2"/>
    <x v="26"/>
    <x v="27"/>
    <x v="201"/>
    <x v="30"/>
    <x v="232"/>
    <x v="292"/>
    <x v="308"/>
    <x v="34"/>
  </r>
  <r>
    <x v="173"/>
    <x v="161"/>
    <x v="3"/>
    <x v="19"/>
    <x v="19"/>
    <x v="202"/>
    <x v="58"/>
    <x v="233"/>
    <x v="293"/>
    <x v="309"/>
    <x v="59"/>
  </r>
  <r>
    <x v="174"/>
    <x v="162"/>
    <x v="2"/>
    <x v="19"/>
    <x v="19"/>
    <x v="203"/>
    <x v="58"/>
    <x v="234"/>
    <x v="294"/>
    <x v="310"/>
    <x v="60"/>
  </r>
  <r>
    <x v="174"/>
    <x v="162"/>
    <x v="2"/>
    <x v="26"/>
    <x v="27"/>
    <x v="204"/>
    <x v="26"/>
    <x v="235"/>
    <x v="295"/>
    <x v="311"/>
    <x v="61"/>
  </r>
  <r>
    <x v="174"/>
    <x v="162"/>
    <x v="2"/>
    <x v="26"/>
    <x v="27"/>
    <x v="205"/>
    <x v="26"/>
    <x v="236"/>
    <x v="296"/>
    <x v="312"/>
    <x v="62"/>
  </r>
  <r>
    <x v="174"/>
    <x v="162"/>
    <x v="3"/>
    <x v="19"/>
    <x v="19"/>
    <x v="186"/>
    <x v="58"/>
    <x v="237"/>
    <x v="297"/>
    <x v="313"/>
    <x v="59"/>
  </r>
  <r>
    <x v="175"/>
    <x v="163"/>
    <x v="2"/>
    <x v="19"/>
    <x v="19"/>
    <x v="206"/>
    <x v="49"/>
    <x v="238"/>
    <x v="298"/>
    <x v="314"/>
    <x v="63"/>
  </r>
  <r>
    <x v="175"/>
    <x v="163"/>
    <x v="2"/>
    <x v="19"/>
    <x v="19"/>
    <x v="207"/>
    <x v="31"/>
    <x v="239"/>
    <x v="299"/>
    <x v="315"/>
    <x v="64"/>
  </r>
  <r>
    <x v="175"/>
    <x v="163"/>
    <x v="2"/>
    <x v="26"/>
    <x v="27"/>
    <x v="208"/>
    <x v="26"/>
    <x v="240"/>
    <x v="300"/>
    <x v="316"/>
    <x v="65"/>
  </r>
  <r>
    <x v="175"/>
    <x v="163"/>
    <x v="3"/>
    <x v="26"/>
    <x v="27"/>
    <x v="209"/>
    <x v="26"/>
    <x v="241"/>
    <x v="301"/>
    <x v="317"/>
    <x v="62"/>
  </r>
  <r>
    <x v="176"/>
    <x v="164"/>
    <x v="3"/>
    <x v="19"/>
    <x v="19"/>
    <x v="210"/>
    <x v="31"/>
    <x v="242"/>
    <x v="302"/>
    <x v="318"/>
    <x v="63"/>
  </r>
  <r>
    <x v="177"/>
    <x v="165"/>
    <x v="3"/>
    <x v="26"/>
    <x v="27"/>
    <x v="211"/>
    <x v="26"/>
    <x v="141"/>
    <x v="303"/>
    <x v="319"/>
    <x v="61"/>
  </r>
  <r>
    <x v="178"/>
    <x v="166"/>
    <x v="3"/>
    <x v="26"/>
    <x v="27"/>
    <x v="212"/>
    <x v="59"/>
    <x v="243"/>
    <x v="304"/>
    <x v="320"/>
    <x v="0"/>
  </r>
  <r>
    <x v="179"/>
    <x v="167"/>
    <x v="3"/>
    <x v="19"/>
    <x v="19"/>
    <x v="213"/>
    <x v="60"/>
    <x v="244"/>
    <x v="305"/>
    <x v="321"/>
    <x v="66"/>
  </r>
  <r>
    <x v="179"/>
    <x v="167"/>
    <x v="3"/>
    <x v="19"/>
    <x v="19"/>
    <x v="214"/>
    <x v="61"/>
    <x v="245"/>
    <x v="306"/>
    <x v="322"/>
    <x v="0"/>
  </r>
  <r>
    <x v="179"/>
    <x v="167"/>
    <x v="2"/>
    <x v="24"/>
    <x v="24"/>
    <x v="215"/>
    <x v="26"/>
    <x v="246"/>
    <x v="307"/>
    <x v="323"/>
    <x v="67"/>
  </r>
  <r>
    <x v="180"/>
    <x v="168"/>
    <x v="3"/>
    <x v="24"/>
    <x v="24"/>
    <x v="216"/>
    <x v="26"/>
    <x v="247"/>
    <x v="308"/>
    <x v="324"/>
    <x v="56"/>
  </r>
  <r>
    <x v="180"/>
    <x v="168"/>
    <x v="2"/>
    <x v="24"/>
    <x v="24"/>
    <x v="217"/>
    <x v="26"/>
    <x v="248"/>
    <x v="309"/>
    <x v="325"/>
    <x v="67"/>
  </r>
  <r>
    <x v="181"/>
    <x v="169"/>
    <x v="2"/>
    <x v="24"/>
    <x v="24"/>
    <x v="218"/>
    <x v="26"/>
    <x v="249"/>
    <x v="310"/>
    <x v="326"/>
    <x v="68"/>
  </r>
  <r>
    <x v="181"/>
    <x v="169"/>
    <x v="2"/>
    <x v="24"/>
    <x v="24"/>
    <x v="219"/>
    <x v="62"/>
    <x v="250"/>
    <x v="311"/>
    <x v="327"/>
    <x v="69"/>
  </r>
  <r>
    <x v="181"/>
    <x v="169"/>
    <x v="3"/>
    <x v="24"/>
    <x v="24"/>
    <x v="217"/>
    <x v="26"/>
    <x v="248"/>
    <x v="312"/>
    <x v="328"/>
    <x v="70"/>
  </r>
  <r>
    <x v="182"/>
    <x v="170"/>
    <x v="3"/>
    <x v="24"/>
    <x v="24"/>
    <x v="215"/>
    <x v="62"/>
    <x v="251"/>
    <x v="313"/>
    <x v="329"/>
    <x v="67"/>
  </r>
  <r>
    <x v="182"/>
    <x v="170"/>
    <x v="2"/>
    <x v="24"/>
    <x v="24"/>
    <x v="220"/>
    <x v="26"/>
    <x v="252"/>
    <x v="314"/>
    <x v="330"/>
    <x v="68"/>
  </r>
  <r>
    <x v="182"/>
    <x v="170"/>
    <x v="3"/>
    <x v="24"/>
    <x v="24"/>
    <x v="221"/>
    <x v="63"/>
    <x v="253"/>
    <x v="315"/>
    <x v="331"/>
    <x v="19"/>
  </r>
  <r>
    <x v="183"/>
    <x v="97"/>
    <x v="9"/>
    <x v="24"/>
    <x v="24"/>
    <x v="0"/>
    <x v="0"/>
    <x v="0"/>
    <x v="316"/>
    <x v="332"/>
    <x v="0"/>
  </r>
  <r>
    <x v="183"/>
    <x v="97"/>
    <x v="9"/>
    <x v="24"/>
    <x v="24"/>
    <x v="0"/>
    <x v="0"/>
    <x v="0"/>
    <x v="316"/>
    <x v="333"/>
    <x v="0"/>
  </r>
  <r>
    <x v="183"/>
    <x v="97"/>
    <x v="9"/>
    <x v="24"/>
    <x v="24"/>
    <x v="0"/>
    <x v="0"/>
    <x v="0"/>
    <x v="317"/>
    <x v="334"/>
    <x v="0"/>
  </r>
  <r>
    <x v="183"/>
    <x v="171"/>
    <x v="2"/>
    <x v="19"/>
    <x v="19"/>
    <x v="222"/>
    <x v="64"/>
    <x v="254"/>
    <x v="318"/>
    <x v="335"/>
    <x v="71"/>
  </r>
  <r>
    <x v="183"/>
    <x v="171"/>
    <x v="2"/>
    <x v="27"/>
    <x v="28"/>
    <x v="223"/>
    <x v="64"/>
    <x v="255"/>
    <x v="319"/>
    <x v="336"/>
    <x v="71"/>
  </r>
  <r>
    <x v="183"/>
    <x v="171"/>
    <x v="2"/>
    <x v="27"/>
    <x v="28"/>
    <x v="224"/>
    <x v="64"/>
    <x v="256"/>
    <x v="320"/>
    <x v="337"/>
    <x v="72"/>
  </r>
  <r>
    <x v="183"/>
    <x v="171"/>
    <x v="2"/>
    <x v="24"/>
    <x v="24"/>
    <x v="225"/>
    <x v="62"/>
    <x v="257"/>
    <x v="321"/>
    <x v="338"/>
    <x v="73"/>
  </r>
  <r>
    <x v="184"/>
    <x v="172"/>
    <x v="3"/>
    <x v="24"/>
    <x v="24"/>
    <x v="226"/>
    <x v="26"/>
    <x v="258"/>
    <x v="322"/>
    <x v="339"/>
    <x v="31"/>
  </r>
  <r>
    <x v="185"/>
    <x v="173"/>
    <x v="1"/>
    <x v="1"/>
    <x v="1"/>
    <x v="0"/>
    <x v="0"/>
    <x v="0"/>
    <x v="129"/>
    <x v="340"/>
    <x v="0"/>
  </r>
  <r>
    <x v="185"/>
    <x v="173"/>
    <x v="2"/>
    <x v="24"/>
    <x v="24"/>
    <x v="227"/>
    <x v="26"/>
    <x v="259"/>
    <x v="323"/>
    <x v="341"/>
    <x v="73"/>
  </r>
  <r>
    <x v="185"/>
    <x v="173"/>
    <x v="2"/>
    <x v="19"/>
    <x v="19"/>
    <x v="228"/>
    <x v="64"/>
    <x v="260"/>
    <x v="324"/>
    <x v="342"/>
    <x v="72"/>
  </r>
  <r>
    <x v="185"/>
    <x v="173"/>
    <x v="2"/>
    <x v="24"/>
    <x v="24"/>
    <x v="229"/>
    <x v="13"/>
    <x v="78"/>
    <x v="325"/>
    <x v="343"/>
    <x v="61"/>
  </r>
  <r>
    <x v="186"/>
    <x v="174"/>
    <x v="3"/>
    <x v="24"/>
    <x v="24"/>
    <x v="230"/>
    <x v="59"/>
    <x v="261"/>
    <x v="326"/>
    <x v="344"/>
    <x v="0"/>
  </r>
  <r>
    <x v="186"/>
    <x v="174"/>
    <x v="2"/>
    <x v="24"/>
    <x v="24"/>
    <x v="231"/>
    <x v="59"/>
    <x v="262"/>
    <x v="327"/>
    <x v="345"/>
    <x v="61"/>
  </r>
  <r>
    <x v="186"/>
    <x v="174"/>
    <x v="3"/>
    <x v="19"/>
    <x v="19"/>
    <x v="232"/>
    <x v="60"/>
    <x v="263"/>
    <x v="328"/>
    <x v="346"/>
    <x v="0"/>
  </r>
  <r>
    <x v="186"/>
    <x v="174"/>
    <x v="3"/>
    <x v="27"/>
    <x v="28"/>
    <x v="233"/>
    <x v="60"/>
    <x v="264"/>
    <x v="329"/>
    <x v="347"/>
    <x v="0"/>
  </r>
  <r>
    <x v="186"/>
    <x v="174"/>
    <x v="2"/>
    <x v="28"/>
    <x v="29"/>
    <x v="234"/>
    <x v="64"/>
    <x v="265"/>
    <x v="330"/>
    <x v="348"/>
    <x v="71"/>
  </r>
  <r>
    <x v="187"/>
    <x v="175"/>
    <x v="3"/>
    <x v="28"/>
    <x v="29"/>
    <x v="235"/>
    <x v="64"/>
    <x v="266"/>
    <x v="331"/>
    <x v="349"/>
    <x v="0"/>
  </r>
  <r>
    <x v="187"/>
    <x v="175"/>
    <x v="2"/>
    <x v="28"/>
    <x v="29"/>
    <x v="236"/>
    <x v="64"/>
    <x v="267"/>
    <x v="332"/>
    <x v="350"/>
    <x v="71"/>
  </r>
  <r>
    <x v="187"/>
    <x v="175"/>
    <x v="2"/>
    <x v="26"/>
    <x v="27"/>
    <x v="237"/>
    <x v="26"/>
    <x v="268"/>
    <x v="333"/>
    <x v="351"/>
    <x v="19"/>
  </r>
  <r>
    <x v="188"/>
    <x v="176"/>
    <x v="2"/>
    <x v="28"/>
    <x v="29"/>
    <x v="238"/>
    <x v="64"/>
    <x v="269"/>
    <x v="334"/>
    <x v="352"/>
    <x v="72"/>
  </r>
  <r>
    <x v="189"/>
    <x v="177"/>
    <x v="2"/>
    <x v="26"/>
    <x v="27"/>
    <x v="239"/>
    <x v="26"/>
    <x v="270"/>
    <x v="335"/>
    <x v="353"/>
    <x v="31"/>
  </r>
  <r>
    <x v="189"/>
    <x v="177"/>
    <x v="2"/>
    <x v="29"/>
    <x v="30"/>
    <x v="240"/>
    <x v="64"/>
    <x v="271"/>
    <x v="336"/>
    <x v="354"/>
    <x v="71"/>
  </r>
  <r>
    <x v="189"/>
    <x v="177"/>
    <x v="18"/>
    <x v="30"/>
    <x v="31"/>
    <x v="241"/>
    <x v="60"/>
    <x v="0"/>
    <x v="0"/>
    <x v="354"/>
    <x v="72"/>
  </r>
  <r>
    <x v="189"/>
    <x v="177"/>
    <x v="17"/>
    <x v="28"/>
    <x v="29"/>
    <x v="242"/>
    <x v="64"/>
    <x v="0"/>
    <x v="0"/>
    <x v="354"/>
    <x v="71"/>
  </r>
  <r>
    <x v="189"/>
    <x v="177"/>
    <x v="17"/>
    <x v="29"/>
    <x v="30"/>
    <x v="243"/>
    <x v="64"/>
    <x v="0"/>
    <x v="0"/>
    <x v="354"/>
    <x v="0"/>
  </r>
  <r>
    <x v="190"/>
    <x v="178"/>
    <x v="3"/>
    <x v="28"/>
    <x v="29"/>
    <x v="244"/>
    <x v="64"/>
    <x v="272"/>
    <x v="337"/>
    <x v="355"/>
    <x v="0"/>
  </r>
  <r>
    <x v="190"/>
    <x v="178"/>
    <x v="3"/>
    <x v="26"/>
    <x v="27"/>
    <x v="245"/>
    <x v="26"/>
    <x v="273"/>
    <x v="338"/>
    <x v="356"/>
    <x v="19"/>
  </r>
  <r>
    <x v="190"/>
    <x v="178"/>
    <x v="3"/>
    <x v="26"/>
    <x v="27"/>
    <x v="246"/>
    <x v="26"/>
    <x v="274"/>
    <x v="339"/>
    <x v="357"/>
    <x v="0"/>
  </r>
  <r>
    <x v="191"/>
    <x v="179"/>
    <x v="3"/>
    <x v="24"/>
    <x v="24"/>
    <x v="247"/>
    <x v="13"/>
    <x v="275"/>
    <x v="340"/>
    <x v="358"/>
    <x v="73"/>
  </r>
  <r>
    <x v="191"/>
    <x v="179"/>
    <x v="2"/>
    <x v="26"/>
    <x v="27"/>
    <x v="248"/>
    <x v="3"/>
    <x v="276"/>
    <x v="341"/>
    <x v="359"/>
    <x v="3"/>
  </r>
  <r>
    <x v="191"/>
    <x v="179"/>
    <x v="2"/>
    <x v="26"/>
    <x v="27"/>
    <x v="249"/>
    <x v="17"/>
    <x v="277"/>
    <x v="342"/>
    <x v="360"/>
    <x v="19"/>
  </r>
  <r>
    <x v="191"/>
    <x v="179"/>
    <x v="2"/>
    <x v="26"/>
    <x v="27"/>
    <x v="250"/>
    <x v="26"/>
    <x v="278"/>
    <x v="343"/>
    <x v="361"/>
    <x v="31"/>
  </r>
  <r>
    <x v="192"/>
    <x v="178"/>
    <x v="19"/>
    <x v="30"/>
    <x v="31"/>
    <x v="251"/>
    <x v="60"/>
    <x v="279"/>
    <x v="344"/>
    <x v="362"/>
    <x v="0"/>
  </r>
  <r>
    <x v="192"/>
    <x v="180"/>
    <x v="2"/>
    <x v="26"/>
    <x v="27"/>
    <x v="252"/>
    <x v="26"/>
    <x v="280"/>
    <x v="345"/>
    <x v="363"/>
    <x v="73"/>
  </r>
  <r>
    <x v="192"/>
    <x v="180"/>
    <x v="2"/>
    <x v="24"/>
    <x v="24"/>
    <x v="59"/>
    <x v="13"/>
    <x v="281"/>
    <x v="346"/>
    <x v="364"/>
    <x v="61"/>
  </r>
  <r>
    <x v="192"/>
    <x v="180"/>
    <x v="2"/>
    <x v="26"/>
    <x v="27"/>
    <x v="253"/>
    <x v="26"/>
    <x v="282"/>
    <x v="347"/>
    <x v="365"/>
    <x v="74"/>
  </r>
  <r>
    <x v="192"/>
    <x v="180"/>
    <x v="3"/>
    <x v="26"/>
    <x v="27"/>
    <x v="254"/>
    <x v="62"/>
    <x v="283"/>
    <x v="348"/>
    <x v="366"/>
    <x v="31"/>
  </r>
  <r>
    <x v="192"/>
    <x v="180"/>
    <x v="3"/>
    <x v="24"/>
    <x v="24"/>
    <x v="255"/>
    <x v="26"/>
    <x v="284"/>
    <x v="349"/>
    <x v="367"/>
    <x v="34"/>
  </r>
  <r>
    <x v="192"/>
    <x v="180"/>
    <x v="2"/>
    <x v="26"/>
    <x v="27"/>
    <x v="256"/>
    <x v="62"/>
    <x v="285"/>
    <x v="350"/>
    <x v="368"/>
    <x v="74"/>
  </r>
  <r>
    <x v="192"/>
    <x v="180"/>
    <x v="2"/>
    <x v="31"/>
    <x v="32"/>
    <x v="257"/>
    <x v="13"/>
    <x v="286"/>
    <x v="351"/>
    <x v="369"/>
    <x v="11"/>
  </r>
  <r>
    <x v="193"/>
    <x v="181"/>
    <x v="3"/>
    <x v="26"/>
    <x v="27"/>
    <x v="258"/>
    <x v="62"/>
    <x v="287"/>
    <x v="352"/>
    <x v="370"/>
    <x v="31"/>
  </r>
  <r>
    <x v="193"/>
    <x v="181"/>
    <x v="2"/>
    <x v="31"/>
    <x v="32"/>
    <x v="259"/>
    <x v="13"/>
    <x v="288"/>
    <x v="353"/>
    <x v="371"/>
    <x v="19"/>
  </r>
  <r>
    <x v="193"/>
    <x v="181"/>
    <x v="3"/>
    <x v="26"/>
    <x v="27"/>
    <x v="260"/>
    <x v="62"/>
    <x v="289"/>
    <x v="354"/>
    <x v="372"/>
    <x v="0"/>
  </r>
  <r>
    <x v="193"/>
    <x v="181"/>
    <x v="3"/>
    <x v="31"/>
    <x v="32"/>
    <x v="261"/>
    <x v="13"/>
    <x v="290"/>
    <x v="355"/>
    <x v="373"/>
    <x v="11"/>
  </r>
  <r>
    <x v="193"/>
    <x v="181"/>
    <x v="2"/>
    <x v="31"/>
    <x v="32"/>
    <x v="262"/>
    <x v="26"/>
    <x v="291"/>
    <x v="356"/>
    <x v="374"/>
    <x v="20"/>
  </r>
  <r>
    <x v="193"/>
    <x v="181"/>
    <x v="2"/>
    <x v="26"/>
    <x v="27"/>
    <x v="263"/>
    <x v="62"/>
    <x v="292"/>
    <x v="357"/>
    <x v="375"/>
    <x v="31"/>
  </r>
  <r>
    <x v="194"/>
    <x v="182"/>
    <x v="3"/>
    <x v="31"/>
    <x v="32"/>
    <x v="264"/>
    <x v="26"/>
    <x v="293"/>
    <x v="358"/>
    <x v="376"/>
    <x v="11"/>
  </r>
  <r>
    <x v="194"/>
    <x v="182"/>
    <x v="3"/>
    <x v="26"/>
    <x v="27"/>
    <x v="265"/>
    <x v="26"/>
    <x v="294"/>
    <x v="359"/>
    <x v="377"/>
    <x v="19"/>
  </r>
  <r>
    <x v="194"/>
    <x v="182"/>
    <x v="3"/>
    <x v="26"/>
    <x v="27"/>
    <x v="266"/>
    <x v="26"/>
    <x v="295"/>
    <x v="360"/>
    <x v="378"/>
    <x v="0"/>
  </r>
  <r>
    <x v="194"/>
    <x v="182"/>
    <x v="2"/>
    <x v="32"/>
    <x v="33"/>
    <x v="267"/>
    <x v="65"/>
    <x v="296"/>
    <x v="361"/>
    <x v="379"/>
    <x v="20"/>
  </r>
  <r>
    <x v="195"/>
    <x v="183"/>
    <x v="3"/>
    <x v="31"/>
    <x v="32"/>
    <x v="268"/>
    <x v="13"/>
    <x v="297"/>
    <x v="362"/>
    <x v="380"/>
    <x v="0"/>
  </r>
  <r>
    <x v="195"/>
    <x v="183"/>
    <x v="2"/>
    <x v="32"/>
    <x v="33"/>
    <x v="269"/>
    <x v="65"/>
    <x v="298"/>
    <x v="363"/>
    <x v="381"/>
    <x v="73"/>
  </r>
  <r>
    <x v="196"/>
    <x v="184"/>
    <x v="3"/>
    <x v="32"/>
    <x v="33"/>
    <x v="270"/>
    <x v="66"/>
    <x v="299"/>
    <x v="364"/>
    <x v="382"/>
    <x v="0"/>
  </r>
  <r>
    <x v="196"/>
    <x v="184"/>
    <x v="2"/>
    <x v="32"/>
    <x v="33"/>
    <x v="271"/>
    <x v="65"/>
    <x v="300"/>
    <x v="365"/>
    <x v="383"/>
    <x v="20"/>
  </r>
  <r>
    <x v="197"/>
    <x v="185"/>
    <x v="4"/>
    <x v="1"/>
    <x v="1"/>
    <x v="0"/>
    <x v="0"/>
    <x v="0"/>
    <x v="366"/>
    <x v="384"/>
    <x v="0"/>
  </r>
  <r>
    <x v="197"/>
    <x v="185"/>
    <x v="3"/>
    <x v="32"/>
    <x v="33"/>
    <x v="272"/>
    <x v="13"/>
    <x v="301"/>
    <x v="367"/>
    <x v="385"/>
    <x v="19"/>
  </r>
  <r>
    <x v="197"/>
    <x v="185"/>
    <x v="3"/>
    <x v="32"/>
    <x v="33"/>
    <x v="273"/>
    <x v="13"/>
    <x v="302"/>
    <x v="368"/>
    <x v="386"/>
    <x v="11"/>
  </r>
  <r>
    <x v="197"/>
    <x v="185"/>
    <x v="3"/>
    <x v="32"/>
    <x v="33"/>
    <x v="274"/>
    <x v="13"/>
    <x v="303"/>
    <x v="369"/>
    <x v="387"/>
    <x v="0"/>
  </r>
  <r>
    <x v="198"/>
    <x v="186"/>
    <x v="2"/>
    <x v="24"/>
    <x v="24"/>
    <x v="275"/>
    <x v="30"/>
    <x v="304"/>
    <x v="370"/>
    <x v="388"/>
    <x v="35"/>
  </r>
  <r>
    <x v="198"/>
    <x v="186"/>
    <x v="3"/>
    <x v="24"/>
    <x v="24"/>
    <x v="215"/>
    <x v="30"/>
    <x v="305"/>
    <x v="371"/>
    <x v="389"/>
    <x v="34"/>
  </r>
  <r>
    <x v="198"/>
    <x v="186"/>
    <x v="2"/>
    <x v="33"/>
    <x v="34"/>
    <x v="276"/>
    <x v="3"/>
    <x v="306"/>
    <x v="372"/>
    <x v="390"/>
    <x v="3"/>
  </r>
  <r>
    <x v="199"/>
    <x v="187"/>
    <x v="2"/>
    <x v="26"/>
    <x v="27"/>
    <x v="277"/>
    <x v="26"/>
    <x v="307"/>
    <x v="373"/>
    <x v="391"/>
    <x v="19"/>
  </r>
  <r>
    <x v="200"/>
    <x v="188"/>
    <x v="2"/>
    <x v="34"/>
    <x v="35"/>
    <x v="244"/>
    <x v="67"/>
    <x v="308"/>
    <x v="374"/>
    <x v="392"/>
    <x v="75"/>
  </r>
  <r>
    <x v="201"/>
    <x v="189"/>
    <x v="2"/>
    <x v="34"/>
    <x v="35"/>
    <x v="278"/>
    <x v="67"/>
    <x v="309"/>
    <x v="375"/>
    <x v="393"/>
    <x v="55"/>
  </r>
  <r>
    <x v="202"/>
    <x v="190"/>
    <x v="1"/>
    <x v="1"/>
    <x v="1"/>
    <x v="0"/>
    <x v="0"/>
    <x v="0"/>
    <x v="376"/>
    <x v="394"/>
    <x v="0"/>
  </r>
  <r>
    <x v="202"/>
    <x v="190"/>
    <x v="2"/>
    <x v="34"/>
    <x v="35"/>
    <x v="279"/>
    <x v="68"/>
    <x v="310"/>
    <x v="377"/>
    <x v="395"/>
    <x v="76"/>
  </r>
  <r>
    <x v="203"/>
    <x v="191"/>
    <x v="15"/>
    <x v="34"/>
    <x v="35"/>
    <x v="0"/>
    <x v="69"/>
    <x v="0"/>
    <x v="0"/>
    <x v="395"/>
    <x v="77"/>
  </r>
  <r>
    <x v="203"/>
    <x v="191"/>
    <x v="15"/>
    <x v="35"/>
    <x v="36"/>
    <x v="0"/>
    <x v="70"/>
    <x v="0"/>
    <x v="0"/>
    <x v="395"/>
    <x v="78"/>
  </r>
  <r>
    <x v="203"/>
    <x v="191"/>
    <x v="17"/>
    <x v="34"/>
    <x v="35"/>
    <x v="0"/>
    <x v="71"/>
    <x v="0"/>
    <x v="0"/>
    <x v="395"/>
    <x v="79"/>
  </r>
  <r>
    <x v="204"/>
    <x v="192"/>
    <x v="3"/>
    <x v="34"/>
    <x v="35"/>
    <x v="280"/>
    <x v="69"/>
    <x v="311"/>
    <x v="378"/>
    <x v="396"/>
    <x v="0"/>
  </r>
  <r>
    <x v="205"/>
    <x v="193"/>
    <x v="4"/>
    <x v="1"/>
    <x v="1"/>
    <x v="0"/>
    <x v="0"/>
    <x v="0"/>
    <x v="379"/>
    <x v="397"/>
    <x v="0"/>
  </r>
  <r>
    <x v="206"/>
    <x v="192"/>
    <x v="19"/>
    <x v="35"/>
    <x v="36"/>
    <x v="281"/>
    <x v="70"/>
    <x v="312"/>
    <x v="380"/>
    <x v="398"/>
    <x v="0"/>
  </r>
  <r>
    <x v="207"/>
    <x v="194"/>
    <x v="2"/>
    <x v="24"/>
    <x v="24"/>
    <x v="282"/>
    <x v="30"/>
    <x v="313"/>
    <x v="381"/>
    <x v="399"/>
    <x v="35"/>
  </r>
  <r>
    <x v="207"/>
    <x v="194"/>
    <x v="2"/>
    <x v="33"/>
    <x v="34"/>
    <x v="283"/>
    <x v="3"/>
    <x v="314"/>
    <x v="382"/>
    <x v="400"/>
    <x v="11"/>
  </r>
  <r>
    <x v="207"/>
    <x v="194"/>
    <x v="2"/>
    <x v="26"/>
    <x v="27"/>
    <x v="284"/>
    <x v="67"/>
    <x v="315"/>
    <x v="383"/>
    <x v="401"/>
    <x v="80"/>
  </r>
  <r>
    <x v="208"/>
    <x v="195"/>
    <x v="3"/>
    <x v="33"/>
    <x v="34"/>
    <x v="285"/>
    <x v="3"/>
    <x v="316"/>
    <x v="384"/>
    <x v="402"/>
    <x v="3"/>
  </r>
  <r>
    <x v="209"/>
    <x v="196"/>
    <x v="3"/>
    <x v="24"/>
    <x v="24"/>
    <x v="286"/>
    <x v="26"/>
    <x v="317"/>
    <x v="385"/>
    <x v="403"/>
    <x v="74"/>
  </r>
  <r>
    <x v="209"/>
    <x v="196"/>
    <x v="3"/>
    <x v="24"/>
    <x v="24"/>
    <x v="287"/>
    <x v="13"/>
    <x v="318"/>
    <x v="386"/>
    <x v="404"/>
    <x v="61"/>
  </r>
  <r>
    <x v="209"/>
    <x v="196"/>
    <x v="3"/>
    <x v="24"/>
    <x v="24"/>
    <x v="288"/>
    <x v="13"/>
    <x v="319"/>
    <x v="387"/>
    <x v="405"/>
    <x v="73"/>
  </r>
  <r>
    <x v="209"/>
    <x v="196"/>
    <x v="2"/>
    <x v="24"/>
    <x v="24"/>
    <x v="289"/>
    <x v="13"/>
    <x v="320"/>
    <x v="388"/>
    <x v="406"/>
    <x v="61"/>
  </r>
  <r>
    <x v="210"/>
    <x v="197"/>
    <x v="5"/>
    <x v="1"/>
    <x v="1"/>
    <x v="0"/>
    <x v="0"/>
    <x v="0"/>
    <x v="389"/>
    <x v="407"/>
    <x v="0"/>
  </r>
  <r>
    <x v="211"/>
    <x v="198"/>
    <x v="3"/>
    <x v="26"/>
    <x v="27"/>
    <x v="290"/>
    <x v="67"/>
    <x v="321"/>
    <x v="390"/>
    <x v="408"/>
    <x v="19"/>
  </r>
  <r>
    <x v="212"/>
    <x v="199"/>
    <x v="4"/>
    <x v="1"/>
    <x v="1"/>
    <x v="0"/>
    <x v="0"/>
    <x v="0"/>
    <x v="391"/>
    <x v="409"/>
    <x v="0"/>
  </r>
  <r>
    <x v="213"/>
    <x v="200"/>
    <x v="2"/>
    <x v="26"/>
    <x v="27"/>
    <x v="291"/>
    <x v="19"/>
    <x v="322"/>
    <x v="392"/>
    <x v="410"/>
    <x v="38"/>
  </r>
  <r>
    <x v="214"/>
    <x v="201"/>
    <x v="3"/>
    <x v="26"/>
    <x v="27"/>
    <x v="292"/>
    <x v="26"/>
    <x v="323"/>
    <x v="393"/>
    <x v="411"/>
    <x v="21"/>
  </r>
  <r>
    <x v="215"/>
    <x v="202"/>
    <x v="3"/>
    <x v="26"/>
    <x v="27"/>
    <x v="293"/>
    <x v="3"/>
    <x v="324"/>
    <x v="394"/>
    <x v="412"/>
    <x v="19"/>
  </r>
  <r>
    <x v="216"/>
    <x v="203"/>
    <x v="3"/>
    <x v="33"/>
    <x v="34"/>
    <x v="294"/>
    <x v="3"/>
    <x v="325"/>
    <x v="395"/>
    <x v="413"/>
    <x v="0"/>
  </r>
  <r>
    <x v="217"/>
    <x v="204"/>
    <x v="2"/>
    <x v="33"/>
    <x v="34"/>
    <x v="295"/>
    <x v="3"/>
    <x v="326"/>
    <x v="396"/>
    <x v="414"/>
    <x v="3"/>
  </r>
  <r>
    <x v="218"/>
    <x v="205"/>
    <x v="3"/>
    <x v="33"/>
    <x v="34"/>
    <x v="296"/>
    <x v="3"/>
    <x v="327"/>
    <x v="397"/>
    <x v="415"/>
    <x v="0"/>
  </r>
  <r>
    <x v="219"/>
    <x v="206"/>
    <x v="17"/>
    <x v="23"/>
    <x v="26"/>
    <x v="0"/>
    <x v="72"/>
    <x v="0"/>
    <x v="0"/>
    <x v="415"/>
    <x v="0"/>
  </r>
  <r>
    <x v="219"/>
    <x v="206"/>
    <x v="15"/>
    <x v="23"/>
    <x v="26"/>
    <x v="0"/>
    <x v="73"/>
    <x v="0"/>
    <x v="0"/>
    <x v="415"/>
    <x v="81"/>
  </r>
  <r>
    <x v="220"/>
    <x v="206"/>
    <x v="16"/>
    <x v="36"/>
    <x v="37"/>
    <x v="297"/>
    <x v="74"/>
    <x v="328"/>
    <x v="398"/>
    <x v="416"/>
    <x v="82"/>
  </r>
  <r>
    <x v="221"/>
    <x v="207"/>
    <x v="5"/>
    <x v="1"/>
    <x v="1"/>
    <x v="0"/>
    <x v="0"/>
    <x v="0"/>
    <x v="399"/>
    <x v="417"/>
    <x v="0"/>
  </r>
  <r>
    <x v="222"/>
    <x v="208"/>
    <x v="2"/>
    <x v="16"/>
    <x v="16"/>
    <x v="171"/>
    <x v="11"/>
    <x v="329"/>
    <x v="400"/>
    <x v="418"/>
    <x v="23"/>
  </r>
  <r>
    <x v="223"/>
    <x v="208"/>
    <x v="11"/>
    <x v="20"/>
    <x v="20"/>
    <x v="0"/>
    <x v="11"/>
    <x v="0"/>
    <x v="0"/>
    <x v="418"/>
    <x v="0"/>
  </r>
  <r>
    <x v="223"/>
    <x v="208"/>
    <x v="10"/>
    <x v="16"/>
    <x v="16"/>
    <x v="0"/>
    <x v="0"/>
    <x v="330"/>
    <x v="401"/>
    <x v="419"/>
    <x v="0"/>
  </r>
  <r>
    <x v="224"/>
    <x v="209"/>
    <x v="2"/>
    <x v="36"/>
    <x v="37"/>
    <x v="298"/>
    <x v="31"/>
    <x v="331"/>
    <x v="402"/>
    <x v="420"/>
    <x v="83"/>
  </r>
  <r>
    <x v="225"/>
    <x v="210"/>
    <x v="6"/>
    <x v="26"/>
    <x v="27"/>
    <x v="0"/>
    <x v="26"/>
    <x v="332"/>
    <x v="403"/>
    <x v="421"/>
    <x v="0"/>
  </r>
  <r>
    <x v="226"/>
    <x v="211"/>
    <x v="2"/>
    <x v="26"/>
    <x v="27"/>
    <x v="299"/>
    <x v="26"/>
    <x v="333"/>
    <x v="404"/>
    <x v="422"/>
    <x v="31"/>
  </r>
  <r>
    <x v="227"/>
    <x v="212"/>
    <x v="20"/>
    <x v="23"/>
    <x v="26"/>
    <x v="0"/>
    <x v="73"/>
    <x v="0"/>
    <x v="0"/>
    <x v="422"/>
    <x v="0"/>
  </r>
  <r>
    <x v="227"/>
    <x v="212"/>
    <x v="21"/>
    <x v="23"/>
    <x v="26"/>
    <x v="0"/>
    <x v="75"/>
    <x v="0"/>
    <x v="0"/>
    <x v="422"/>
    <x v="84"/>
  </r>
  <r>
    <x v="228"/>
    <x v="213"/>
    <x v="2"/>
    <x v="24"/>
    <x v="24"/>
    <x v="103"/>
    <x v="17"/>
    <x v="334"/>
    <x v="405"/>
    <x v="423"/>
    <x v="85"/>
  </r>
  <r>
    <x v="229"/>
    <x v="214"/>
    <x v="3"/>
    <x v="26"/>
    <x v="27"/>
    <x v="300"/>
    <x v="26"/>
    <x v="335"/>
    <x v="406"/>
    <x v="424"/>
    <x v="19"/>
  </r>
  <r>
    <x v="230"/>
    <x v="215"/>
    <x v="2"/>
    <x v="26"/>
    <x v="27"/>
    <x v="301"/>
    <x v="26"/>
    <x v="336"/>
    <x v="407"/>
    <x v="425"/>
    <x v="31"/>
  </r>
  <r>
    <x v="231"/>
    <x v="216"/>
    <x v="3"/>
    <x v="24"/>
    <x v="24"/>
    <x v="73"/>
    <x v="17"/>
    <x v="337"/>
    <x v="408"/>
    <x v="426"/>
    <x v="61"/>
  </r>
  <r>
    <x v="231"/>
    <x v="216"/>
    <x v="3"/>
    <x v="26"/>
    <x v="27"/>
    <x v="302"/>
    <x v="26"/>
    <x v="338"/>
    <x v="409"/>
    <x v="427"/>
    <x v="19"/>
  </r>
  <r>
    <x v="232"/>
    <x v="217"/>
    <x v="2"/>
    <x v="26"/>
    <x v="27"/>
    <x v="303"/>
    <x v="26"/>
    <x v="339"/>
    <x v="410"/>
    <x v="428"/>
    <x v="31"/>
  </r>
  <r>
    <x v="232"/>
    <x v="217"/>
    <x v="2"/>
    <x v="24"/>
    <x v="24"/>
    <x v="304"/>
    <x v="17"/>
    <x v="340"/>
    <x v="411"/>
    <x v="429"/>
    <x v="85"/>
  </r>
  <r>
    <x v="232"/>
    <x v="217"/>
    <x v="3"/>
    <x v="24"/>
    <x v="24"/>
    <x v="305"/>
    <x v="17"/>
    <x v="341"/>
    <x v="412"/>
    <x v="430"/>
    <x v="61"/>
  </r>
  <r>
    <x v="232"/>
    <x v="217"/>
    <x v="2"/>
    <x v="24"/>
    <x v="24"/>
    <x v="306"/>
    <x v="17"/>
    <x v="342"/>
    <x v="413"/>
    <x v="431"/>
    <x v="85"/>
  </r>
  <r>
    <x v="232"/>
    <x v="217"/>
    <x v="3"/>
    <x v="26"/>
    <x v="27"/>
    <x v="307"/>
    <x v="26"/>
    <x v="343"/>
    <x v="414"/>
    <x v="432"/>
    <x v="19"/>
  </r>
  <r>
    <x v="232"/>
    <x v="217"/>
    <x v="3"/>
    <x v="24"/>
    <x v="24"/>
    <x v="308"/>
    <x v="17"/>
    <x v="344"/>
    <x v="415"/>
    <x v="433"/>
    <x v="61"/>
  </r>
  <r>
    <x v="233"/>
    <x v="218"/>
    <x v="3"/>
    <x v="24"/>
    <x v="24"/>
    <x v="309"/>
    <x v="13"/>
    <x v="345"/>
    <x v="416"/>
    <x v="434"/>
    <x v="73"/>
  </r>
  <r>
    <x v="234"/>
    <x v="219"/>
    <x v="2"/>
    <x v="24"/>
    <x v="24"/>
    <x v="310"/>
    <x v="13"/>
    <x v="346"/>
    <x v="417"/>
    <x v="435"/>
    <x v="61"/>
  </r>
  <r>
    <x v="234"/>
    <x v="219"/>
    <x v="3"/>
    <x v="24"/>
    <x v="24"/>
    <x v="311"/>
    <x v="13"/>
    <x v="347"/>
    <x v="418"/>
    <x v="436"/>
    <x v="73"/>
  </r>
  <r>
    <x v="235"/>
    <x v="220"/>
    <x v="2"/>
    <x v="24"/>
    <x v="24"/>
    <x v="312"/>
    <x v="13"/>
    <x v="348"/>
    <x v="419"/>
    <x v="437"/>
    <x v="61"/>
  </r>
  <r>
    <x v="235"/>
    <x v="220"/>
    <x v="3"/>
    <x v="24"/>
    <x v="24"/>
    <x v="313"/>
    <x v="13"/>
    <x v="349"/>
    <x v="420"/>
    <x v="438"/>
    <x v="73"/>
  </r>
  <r>
    <x v="235"/>
    <x v="220"/>
    <x v="2"/>
    <x v="24"/>
    <x v="24"/>
    <x v="314"/>
    <x v="19"/>
    <x v="350"/>
    <x v="421"/>
    <x v="439"/>
    <x v="85"/>
  </r>
  <r>
    <x v="236"/>
    <x v="221"/>
    <x v="5"/>
    <x v="1"/>
    <x v="1"/>
    <x v="0"/>
    <x v="0"/>
    <x v="0"/>
    <x v="422"/>
    <x v="440"/>
    <x v="0"/>
  </r>
  <r>
    <x v="237"/>
    <x v="222"/>
    <x v="3"/>
    <x v="24"/>
    <x v="24"/>
    <x v="309"/>
    <x v="19"/>
    <x v="351"/>
    <x v="423"/>
    <x v="441"/>
    <x v="73"/>
  </r>
  <r>
    <x v="238"/>
    <x v="223"/>
    <x v="2"/>
    <x v="16"/>
    <x v="16"/>
    <x v="315"/>
    <x v="16"/>
    <x v="352"/>
    <x v="424"/>
    <x v="442"/>
    <x v="28"/>
  </r>
  <r>
    <x v="239"/>
    <x v="224"/>
    <x v="2"/>
    <x v="26"/>
    <x v="27"/>
    <x v="316"/>
    <x v="26"/>
    <x v="353"/>
    <x v="425"/>
    <x v="443"/>
    <x v="31"/>
  </r>
  <r>
    <x v="239"/>
    <x v="224"/>
    <x v="3"/>
    <x v="26"/>
    <x v="27"/>
    <x v="317"/>
    <x v="26"/>
    <x v="354"/>
    <x v="426"/>
    <x v="444"/>
    <x v="19"/>
  </r>
  <r>
    <x v="240"/>
    <x v="225"/>
    <x v="3"/>
    <x v="36"/>
    <x v="37"/>
    <x v="318"/>
    <x v="74"/>
    <x v="355"/>
    <x v="427"/>
    <x v="445"/>
    <x v="35"/>
  </r>
  <r>
    <x v="240"/>
    <x v="225"/>
    <x v="2"/>
    <x v="37"/>
    <x v="38"/>
    <x v="319"/>
    <x v="33"/>
    <x v="356"/>
    <x v="428"/>
    <x v="446"/>
    <x v="8"/>
  </r>
  <r>
    <x v="241"/>
    <x v="226"/>
    <x v="3"/>
    <x v="16"/>
    <x v="16"/>
    <x v="107"/>
    <x v="16"/>
    <x v="124"/>
    <x v="171"/>
    <x v="447"/>
    <x v="0"/>
  </r>
  <r>
    <x v="241"/>
    <x v="226"/>
    <x v="2"/>
    <x v="37"/>
    <x v="38"/>
    <x v="319"/>
    <x v="26"/>
    <x v="357"/>
    <x v="429"/>
    <x v="448"/>
    <x v="27"/>
  </r>
  <r>
    <x v="242"/>
    <x v="226"/>
    <x v="10"/>
    <x v="16"/>
    <x v="16"/>
    <x v="0"/>
    <x v="0"/>
    <x v="358"/>
    <x v="430"/>
    <x v="449"/>
    <x v="0"/>
  </r>
  <r>
    <x v="243"/>
    <x v="227"/>
    <x v="2"/>
    <x v="26"/>
    <x v="27"/>
    <x v="320"/>
    <x v="19"/>
    <x v="359"/>
    <x v="431"/>
    <x v="450"/>
    <x v="38"/>
  </r>
  <r>
    <x v="244"/>
    <x v="228"/>
    <x v="3"/>
    <x v="26"/>
    <x v="27"/>
    <x v="321"/>
    <x v="19"/>
    <x v="360"/>
    <x v="432"/>
    <x v="451"/>
    <x v="19"/>
  </r>
  <r>
    <x v="245"/>
    <x v="229"/>
    <x v="3"/>
    <x v="24"/>
    <x v="24"/>
    <x v="322"/>
    <x v="13"/>
    <x v="361"/>
    <x v="433"/>
    <x v="452"/>
    <x v="34"/>
  </r>
  <r>
    <x v="245"/>
    <x v="229"/>
    <x v="3"/>
    <x v="37"/>
    <x v="38"/>
    <x v="323"/>
    <x v="26"/>
    <x v="362"/>
    <x v="434"/>
    <x v="453"/>
    <x v="8"/>
  </r>
  <r>
    <x v="246"/>
    <x v="230"/>
    <x v="2"/>
    <x v="37"/>
    <x v="38"/>
    <x v="324"/>
    <x v="26"/>
    <x v="363"/>
    <x v="435"/>
    <x v="454"/>
    <x v="27"/>
  </r>
  <r>
    <x v="246"/>
    <x v="230"/>
    <x v="2"/>
    <x v="26"/>
    <x v="27"/>
    <x v="325"/>
    <x v="26"/>
    <x v="51"/>
    <x v="436"/>
    <x v="455"/>
    <x v="31"/>
  </r>
  <r>
    <x v="246"/>
    <x v="230"/>
    <x v="3"/>
    <x v="26"/>
    <x v="27"/>
    <x v="326"/>
    <x v="26"/>
    <x v="364"/>
    <x v="437"/>
    <x v="456"/>
    <x v="19"/>
  </r>
  <r>
    <x v="247"/>
    <x v="231"/>
    <x v="5"/>
    <x v="1"/>
    <x v="1"/>
    <x v="0"/>
    <x v="0"/>
    <x v="0"/>
    <x v="438"/>
    <x v="457"/>
    <x v="0"/>
  </r>
  <r>
    <x v="248"/>
    <x v="232"/>
    <x v="1"/>
    <x v="1"/>
    <x v="1"/>
    <x v="0"/>
    <x v="0"/>
    <x v="0"/>
    <x v="376"/>
    <x v="458"/>
    <x v="0"/>
  </r>
  <r>
    <x v="248"/>
    <x v="232"/>
    <x v="2"/>
    <x v="38"/>
    <x v="39"/>
    <x v="327"/>
    <x v="33"/>
    <x v="365"/>
    <x v="439"/>
    <x v="459"/>
    <x v="8"/>
  </r>
  <r>
    <x v="248"/>
    <x v="232"/>
    <x v="2"/>
    <x v="16"/>
    <x v="16"/>
    <x v="138"/>
    <x v="13"/>
    <x v="366"/>
    <x v="440"/>
    <x v="460"/>
    <x v="11"/>
  </r>
  <r>
    <x v="249"/>
    <x v="232"/>
    <x v="11"/>
    <x v="20"/>
    <x v="20"/>
    <x v="0"/>
    <x v="13"/>
    <x v="0"/>
    <x v="0"/>
    <x v="460"/>
    <x v="0"/>
  </r>
  <r>
    <x v="249"/>
    <x v="232"/>
    <x v="10"/>
    <x v="16"/>
    <x v="16"/>
    <x v="0"/>
    <x v="0"/>
    <x v="367"/>
    <x v="441"/>
    <x v="461"/>
    <x v="0"/>
  </r>
  <r>
    <x v="250"/>
    <x v="233"/>
    <x v="2"/>
    <x v="39"/>
    <x v="40"/>
    <x v="328"/>
    <x v="65"/>
    <x v="368"/>
    <x v="442"/>
    <x v="462"/>
    <x v="20"/>
  </r>
  <r>
    <x v="250"/>
    <x v="233"/>
    <x v="2"/>
    <x v="37"/>
    <x v="38"/>
    <x v="28"/>
    <x v="26"/>
    <x v="369"/>
    <x v="443"/>
    <x v="463"/>
    <x v="86"/>
  </r>
  <r>
    <x v="251"/>
    <x v="234"/>
    <x v="2"/>
    <x v="26"/>
    <x v="27"/>
    <x v="329"/>
    <x v="26"/>
    <x v="370"/>
    <x v="444"/>
    <x v="464"/>
    <x v="31"/>
  </r>
  <r>
    <x v="251"/>
    <x v="234"/>
    <x v="2"/>
    <x v="37"/>
    <x v="38"/>
    <x v="330"/>
    <x v="26"/>
    <x v="371"/>
    <x v="445"/>
    <x v="465"/>
    <x v="87"/>
  </r>
  <r>
    <x v="251"/>
    <x v="234"/>
    <x v="2"/>
    <x v="39"/>
    <x v="40"/>
    <x v="331"/>
    <x v="65"/>
    <x v="372"/>
    <x v="446"/>
    <x v="466"/>
    <x v="73"/>
  </r>
  <r>
    <x v="251"/>
    <x v="234"/>
    <x v="2"/>
    <x v="38"/>
    <x v="39"/>
    <x v="61"/>
    <x v="33"/>
    <x v="373"/>
    <x v="447"/>
    <x v="467"/>
    <x v="88"/>
  </r>
  <r>
    <x v="251"/>
    <x v="234"/>
    <x v="2"/>
    <x v="37"/>
    <x v="38"/>
    <x v="332"/>
    <x v="30"/>
    <x v="374"/>
    <x v="448"/>
    <x v="468"/>
    <x v="89"/>
  </r>
  <r>
    <x v="252"/>
    <x v="235"/>
    <x v="1"/>
    <x v="1"/>
    <x v="1"/>
    <x v="0"/>
    <x v="0"/>
    <x v="0"/>
    <x v="65"/>
    <x v="469"/>
    <x v="0"/>
  </r>
  <r>
    <x v="252"/>
    <x v="235"/>
    <x v="2"/>
    <x v="16"/>
    <x v="16"/>
    <x v="333"/>
    <x v="2"/>
    <x v="375"/>
    <x v="449"/>
    <x v="470"/>
    <x v="2"/>
  </r>
  <r>
    <x v="253"/>
    <x v="235"/>
    <x v="11"/>
    <x v="20"/>
    <x v="20"/>
    <x v="0"/>
    <x v="2"/>
    <x v="0"/>
    <x v="0"/>
    <x v="470"/>
    <x v="0"/>
  </r>
  <r>
    <x v="253"/>
    <x v="235"/>
    <x v="10"/>
    <x v="16"/>
    <x v="16"/>
    <x v="0"/>
    <x v="0"/>
    <x v="376"/>
    <x v="450"/>
    <x v="471"/>
    <x v="0"/>
  </r>
  <r>
    <x v="254"/>
    <x v="236"/>
    <x v="3"/>
    <x v="38"/>
    <x v="39"/>
    <x v="334"/>
    <x v="33"/>
    <x v="377"/>
    <x v="451"/>
    <x v="472"/>
    <x v="8"/>
  </r>
  <r>
    <x v="254"/>
    <x v="236"/>
    <x v="2"/>
    <x v="16"/>
    <x v="16"/>
    <x v="335"/>
    <x v="2"/>
    <x v="378"/>
    <x v="452"/>
    <x v="473"/>
    <x v="2"/>
  </r>
  <r>
    <x v="254"/>
    <x v="236"/>
    <x v="2"/>
    <x v="40"/>
    <x v="41"/>
    <x v="336"/>
    <x v="16"/>
    <x v="379"/>
    <x v="453"/>
    <x v="474"/>
    <x v="28"/>
  </r>
  <r>
    <x v="255"/>
    <x v="236"/>
    <x v="11"/>
    <x v="20"/>
    <x v="20"/>
    <x v="0"/>
    <x v="2"/>
    <x v="0"/>
    <x v="0"/>
    <x v="474"/>
    <x v="0"/>
  </r>
  <r>
    <x v="255"/>
    <x v="237"/>
    <x v="3"/>
    <x v="38"/>
    <x v="39"/>
    <x v="8"/>
    <x v="33"/>
    <x v="380"/>
    <x v="454"/>
    <x v="475"/>
    <x v="0"/>
  </r>
  <r>
    <x v="255"/>
    <x v="237"/>
    <x v="2"/>
    <x v="39"/>
    <x v="40"/>
    <x v="337"/>
    <x v="65"/>
    <x v="381"/>
    <x v="455"/>
    <x v="476"/>
    <x v="62"/>
  </r>
  <r>
    <x v="255"/>
    <x v="237"/>
    <x v="2"/>
    <x v="41"/>
    <x v="42"/>
    <x v="338"/>
    <x v="13"/>
    <x v="382"/>
    <x v="456"/>
    <x v="477"/>
    <x v="11"/>
  </r>
  <r>
    <x v="255"/>
    <x v="236"/>
    <x v="10"/>
    <x v="16"/>
    <x v="16"/>
    <x v="0"/>
    <x v="0"/>
    <x v="383"/>
    <x v="457"/>
    <x v="478"/>
    <x v="0"/>
  </r>
  <r>
    <x v="256"/>
    <x v="238"/>
    <x v="3"/>
    <x v="26"/>
    <x v="27"/>
    <x v="339"/>
    <x v="26"/>
    <x v="384"/>
    <x v="458"/>
    <x v="479"/>
    <x v="19"/>
  </r>
  <r>
    <x v="256"/>
    <x v="238"/>
    <x v="2"/>
    <x v="41"/>
    <x v="42"/>
    <x v="340"/>
    <x v="13"/>
    <x v="385"/>
    <x v="459"/>
    <x v="480"/>
    <x v="19"/>
  </r>
  <r>
    <x v="257"/>
    <x v="239"/>
    <x v="6"/>
    <x v="37"/>
    <x v="38"/>
    <x v="0"/>
    <x v="31"/>
    <x v="386"/>
    <x v="460"/>
    <x v="481"/>
    <x v="0"/>
  </r>
  <r>
    <x v="257"/>
    <x v="239"/>
    <x v="3"/>
    <x v="37"/>
    <x v="38"/>
    <x v="341"/>
    <x v="76"/>
    <x v="387"/>
    <x v="461"/>
    <x v="482"/>
    <x v="35"/>
  </r>
  <r>
    <x v="257"/>
    <x v="239"/>
    <x v="3"/>
    <x v="39"/>
    <x v="40"/>
    <x v="342"/>
    <x v="65"/>
    <x v="388"/>
    <x v="462"/>
    <x v="483"/>
    <x v="73"/>
  </r>
  <r>
    <x v="257"/>
    <x v="239"/>
    <x v="2"/>
    <x v="16"/>
    <x v="16"/>
    <x v="343"/>
    <x v="2"/>
    <x v="389"/>
    <x v="463"/>
    <x v="484"/>
    <x v="2"/>
  </r>
  <r>
    <x v="257"/>
    <x v="239"/>
    <x v="3"/>
    <x v="24"/>
    <x v="24"/>
    <x v="344"/>
    <x v="3"/>
    <x v="390"/>
    <x v="464"/>
    <x v="485"/>
    <x v="38"/>
  </r>
  <r>
    <x v="258"/>
    <x v="239"/>
    <x v="11"/>
    <x v="20"/>
    <x v="20"/>
    <x v="0"/>
    <x v="2"/>
    <x v="0"/>
    <x v="0"/>
    <x v="485"/>
    <x v="0"/>
  </r>
  <r>
    <x v="258"/>
    <x v="239"/>
    <x v="10"/>
    <x v="16"/>
    <x v="16"/>
    <x v="0"/>
    <x v="0"/>
    <x v="391"/>
    <x v="465"/>
    <x v="486"/>
    <x v="0"/>
  </r>
  <r>
    <x v="259"/>
    <x v="240"/>
    <x v="3"/>
    <x v="40"/>
    <x v="41"/>
    <x v="345"/>
    <x v="16"/>
    <x v="392"/>
    <x v="466"/>
    <x v="487"/>
    <x v="0"/>
  </r>
  <r>
    <x v="260"/>
    <x v="241"/>
    <x v="2"/>
    <x v="39"/>
    <x v="40"/>
    <x v="346"/>
    <x v="65"/>
    <x v="341"/>
    <x v="467"/>
    <x v="488"/>
    <x v="62"/>
  </r>
  <r>
    <x v="260"/>
    <x v="241"/>
    <x v="2"/>
    <x v="24"/>
    <x v="24"/>
    <x v="347"/>
    <x v="26"/>
    <x v="393"/>
    <x v="468"/>
    <x v="489"/>
    <x v="90"/>
  </r>
  <r>
    <x v="260"/>
    <x v="241"/>
    <x v="3"/>
    <x v="41"/>
    <x v="42"/>
    <x v="348"/>
    <x v="26"/>
    <x v="394"/>
    <x v="469"/>
    <x v="490"/>
    <x v="0"/>
  </r>
  <r>
    <x v="260"/>
    <x v="241"/>
    <x v="2"/>
    <x v="42"/>
    <x v="43"/>
    <x v="349"/>
    <x v="26"/>
    <x v="395"/>
    <x v="470"/>
    <x v="491"/>
    <x v="19"/>
  </r>
  <r>
    <x v="261"/>
    <x v="242"/>
    <x v="3"/>
    <x v="24"/>
    <x v="24"/>
    <x v="350"/>
    <x v="26"/>
    <x v="396"/>
    <x v="471"/>
    <x v="492"/>
    <x v="38"/>
  </r>
  <r>
    <x v="261"/>
    <x v="242"/>
    <x v="3"/>
    <x v="42"/>
    <x v="43"/>
    <x v="351"/>
    <x v="26"/>
    <x v="397"/>
    <x v="472"/>
    <x v="493"/>
    <x v="0"/>
  </r>
  <r>
    <x v="261"/>
    <x v="242"/>
    <x v="2"/>
    <x v="41"/>
    <x v="42"/>
    <x v="352"/>
    <x v="26"/>
    <x v="398"/>
    <x v="473"/>
    <x v="494"/>
    <x v="19"/>
  </r>
  <r>
    <x v="261"/>
    <x v="242"/>
    <x v="2"/>
    <x v="42"/>
    <x v="43"/>
    <x v="353"/>
    <x v="26"/>
    <x v="399"/>
    <x v="474"/>
    <x v="495"/>
    <x v="19"/>
  </r>
  <r>
    <x v="261"/>
    <x v="242"/>
    <x v="2"/>
    <x v="39"/>
    <x v="40"/>
    <x v="209"/>
    <x v="65"/>
    <x v="400"/>
    <x v="475"/>
    <x v="496"/>
    <x v="91"/>
  </r>
  <r>
    <x v="262"/>
    <x v="243"/>
    <x v="3"/>
    <x v="41"/>
    <x v="42"/>
    <x v="354"/>
    <x v="26"/>
    <x v="401"/>
    <x v="476"/>
    <x v="497"/>
    <x v="0"/>
  </r>
  <r>
    <x v="263"/>
    <x v="244"/>
    <x v="2"/>
    <x v="41"/>
    <x v="42"/>
    <x v="355"/>
    <x v="26"/>
    <x v="402"/>
    <x v="477"/>
    <x v="498"/>
    <x v="19"/>
  </r>
  <r>
    <x v="264"/>
    <x v="245"/>
    <x v="3"/>
    <x v="39"/>
    <x v="40"/>
    <x v="356"/>
    <x v="65"/>
    <x v="403"/>
    <x v="478"/>
    <x v="499"/>
    <x v="62"/>
  </r>
  <r>
    <x v="265"/>
    <x v="246"/>
    <x v="3"/>
    <x v="42"/>
    <x v="43"/>
    <x v="357"/>
    <x v="26"/>
    <x v="404"/>
    <x v="479"/>
    <x v="500"/>
    <x v="0"/>
  </r>
  <r>
    <x v="265"/>
    <x v="246"/>
    <x v="2"/>
    <x v="43"/>
    <x v="44"/>
    <x v="358"/>
    <x v="13"/>
    <x v="405"/>
    <x v="480"/>
    <x v="501"/>
    <x v="11"/>
  </r>
  <r>
    <x v="265"/>
    <x v="246"/>
    <x v="2"/>
    <x v="37"/>
    <x v="38"/>
    <x v="28"/>
    <x v="26"/>
    <x v="369"/>
    <x v="443"/>
    <x v="502"/>
    <x v="91"/>
  </r>
  <r>
    <x v="266"/>
    <x v="247"/>
    <x v="3"/>
    <x v="41"/>
    <x v="42"/>
    <x v="359"/>
    <x v="26"/>
    <x v="406"/>
    <x v="481"/>
    <x v="503"/>
    <x v="0"/>
  </r>
  <r>
    <x v="266"/>
    <x v="247"/>
    <x v="2"/>
    <x v="43"/>
    <x v="44"/>
    <x v="360"/>
    <x v="13"/>
    <x v="407"/>
    <x v="482"/>
    <x v="504"/>
    <x v="19"/>
  </r>
  <r>
    <x v="267"/>
    <x v="248"/>
    <x v="2"/>
    <x v="41"/>
    <x v="42"/>
    <x v="361"/>
    <x v="26"/>
    <x v="408"/>
    <x v="483"/>
    <x v="505"/>
    <x v="19"/>
  </r>
  <r>
    <x v="268"/>
    <x v="249"/>
    <x v="3"/>
    <x v="41"/>
    <x v="42"/>
    <x v="362"/>
    <x v="26"/>
    <x v="409"/>
    <x v="484"/>
    <x v="506"/>
    <x v="0"/>
  </r>
  <r>
    <x v="268"/>
    <x v="249"/>
    <x v="2"/>
    <x v="43"/>
    <x v="44"/>
    <x v="363"/>
    <x v="13"/>
    <x v="410"/>
    <x v="485"/>
    <x v="507"/>
    <x v="20"/>
  </r>
  <r>
    <x v="269"/>
    <x v="250"/>
    <x v="3"/>
    <x v="39"/>
    <x v="40"/>
    <x v="364"/>
    <x v="77"/>
    <x v="411"/>
    <x v="486"/>
    <x v="508"/>
    <x v="0"/>
  </r>
  <r>
    <x v="269"/>
    <x v="250"/>
    <x v="2"/>
    <x v="37"/>
    <x v="38"/>
    <x v="365"/>
    <x v="26"/>
    <x v="412"/>
    <x v="487"/>
    <x v="509"/>
    <x v="92"/>
  </r>
  <r>
    <x v="269"/>
    <x v="250"/>
    <x v="2"/>
    <x v="43"/>
    <x v="44"/>
    <x v="366"/>
    <x v="13"/>
    <x v="413"/>
    <x v="488"/>
    <x v="510"/>
    <x v="31"/>
  </r>
  <r>
    <x v="270"/>
    <x v="251"/>
    <x v="2"/>
    <x v="43"/>
    <x v="44"/>
    <x v="367"/>
    <x v="13"/>
    <x v="414"/>
    <x v="489"/>
    <x v="511"/>
    <x v="34"/>
  </r>
  <r>
    <x v="270"/>
    <x v="251"/>
    <x v="2"/>
    <x v="43"/>
    <x v="44"/>
    <x v="368"/>
    <x v="13"/>
    <x v="415"/>
    <x v="490"/>
    <x v="512"/>
    <x v="73"/>
  </r>
  <r>
    <x v="271"/>
    <x v="252"/>
    <x v="3"/>
    <x v="37"/>
    <x v="38"/>
    <x v="369"/>
    <x v="62"/>
    <x v="416"/>
    <x v="491"/>
    <x v="513"/>
    <x v="35"/>
  </r>
  <r>
    <x v="271"/>
    <x v="252"/>
    <x v="2"/>
    <x v="43"/>
    <x v="44"/>
    <x v="370"/>
    <x v="13"/>
    <x v="417"/>
    <x v="492"/>
    <x v="514"/>
    <x v="61"/>
  </r>
  <r>
    <x v="271"/>
    <x v="252"/>
    <x v="3"/>
    <x v="43"/>
    <x v="44"/>
    <x v="371"/>
    <x v="65"/>
    <x v="418"/>
    <x v="493"/>
    <x v="515"/>
    <x v="31"/>
  </r>
  <r>
    <x v="271"/>
    <x v="252"/>
    <x v="2"/>
    <x v="26"/>
    <x v="27"/>
    <x v="372"/>
    <x v="26"/>
    <x v="419"/>
    <x v="494"/>
    <x v="516"/>
    <x v="31"/>
  </r>
  <r>
    <x v="271"/>
    <x v="252"/>
    <x v="2"/>
    <x v="44"/>
    <x v="45"/>
    <x v="373"/>
    <x v="65"/>
    <x v="420"/>
    <x v="495"/>
    <x v="517"/>
    <x v="20"/>
  </r>
  <r>
    <x v="272"/>
    <x v="253"/>
    <x v="9"/>
    <x v="37"/>
    <x v="38"/>
    <x v="0"/>
    <x v="0"/>
    <x v="0"/>
    <x v="496"/>
    <x v="518"/>
    <x v="0"/>
  </r>
  <r>
    <x v="272"/>
    <x v="253"/>
    <x v="9"/>
    <x v="37"/>
    <x v="38"/>
    <x v="0"/>
    <x v="0"/>
    <x v="0"/>
    <x v="497"/>
    <x v="519"/>
    <x v="0"/>
  </r>
  <r>
    <x v="272"/>
    <x v="253"/>
    <x v="9"/>
    <x v="37"/>
    <x v="38"/>
    <x v="0"/>
    <x v="0"/>
    <x v="0"/>
    <x v="496"/>
    <x v="520"/>
    <x v="0"/>
  </r>
  <r>
    <x v="273"/>
    <x v="254"/>
    <x v="3"/>
    <x v="26"/>
    <x v="27"/>
    <x v="374"/>
    <x v="26"/>
    <x v="421"/>
    <x v="498"/>
    <x v="521"/>
    <x v="19"/>
  </r>
  <r>
    <x v="273"/>
    <x v="254"/>
    <x v="3"/>
    <x v="44"/>
    <x v="45"/>
    <x v="22"/>
    <x v="65"/>
    <x v="422"/>
    <x v="499"/>
    <x v="522"/>
    <x v="0"/>
  </r>
  <r>
    <x v="273"/>
    <x v="254"/>
    <x v="2"/>
    <x v="26"/>
    <x v="27"/>
    <x v="375"/>
    <x v="26"/>
    <x v="423"/>
    <x v="500"/>
    <x v="523"/>
    <x v="31"/>
  </r>
  <r>
    <x v="273"/>
    <x v="254"/>
    <x v="2"/>
    <x v="39"/>
    <x v="40"/>
    <x v="277"/>
    <x v="65"/>
    <x v="424"/>
    <x v="501"/>
    <x v="524"/>
    <x v="20"/>
  </r>
  <r>
    <x v="274"/>
    <x v="255"/>
    <x v="2"/>
    <x v="24"/>
    <x v="24"/>
    <x v="376"/>
    <x v="3"/>
    <x v="425"/>
    <x v="502"/>
    <x v="525"/>
    <x v="34"/>
  </r>
  <r>
    <x v="275"/>
    <x v="256"/>
    <x v="3"/>
    <x v="26"/>
    <x v="27"/>
    <x v="377"/>
    <x v="26"/>
    <x v="426"/>
    <x v="503"/>
    <x v="526"/>
    <x v="19"/>
  </r>
  <r>
    <x v="275"/>
    <x v="256"/>
    <x v="3"/>
    <x v="39"/>
    <x v="40"/>
    <x v="364"/>
    <x v="65"/>
    <x v="427"/>
    <x v="504"/>
    <x v="527"/>
    <x v="0"/>
  </r>
  <r>
    <x v="276"/>
    <x v="257"/>
    <x v="3"/>
    <x v="24"/>
    <x v="24"/>
    <x v="378"/>
    <x v="3"/>
    <x v="428"/>
    <x v="505"/>
    <x v="528"/>
    <x v="38"/>
  </r>
  <r>
    <x v="277"/>
    <x v="258"/>
    <x v="2"/>
    <x v="39"/>
    <x v="40"/>
    <x v="237"/>
    <x v="31"/>
    <x v="429"/>
    <x v="506"/>
    <x v="529"/>
    <x v="35"/>
  </r>
  <r>
    <x v="278"/>
    <x v="259"/>
    <x v="3"/>
    <x v="39"/>
    <x v="40"/>
    <x v="379"/>
    <x v="31"/>
    <x v="430"/>
    <x v="507"/>
    <x v="530"/>
    <x v="0"/>
  </r>
  <r>
    <x v="278"/>
    <x v="259"/>
    <x v="2"/>
    <x v="16"/>
    <x v="16"/>
    <x v="380"/>
    <x v="2"/>
    <x v="431"/>
    <x v="508"/>
    <x v="531"/>
    <x v="2"/>
  </r>
  <r>
    <x v="278"/>
    <x v="259"/>
    <x v="2"/>
    <x v="16"/>
    <x v="16"/>
    <x v="380"/>
    <x v="11"/>
    <x v="432"/>
    <x v="509"/>
    <x v="532"/>
    <x v="3"/>
  </r>
  <r>
    <x v="279"/>
    <x v="260"/>
    <x v="2"/>
    <x v="37"/>
    <x v="38"/>
    <x v="381"/>
    <x v="26"/>
    <x v="433"/>
    <x v="510"/>
    <x v="533"/>
    <x v="91"/>
  </r>
  <r>
    <x v="280"/>
    <x v="261"/>
    <x v="3"/>
    <x v="37"/>
    <x v="38"/>
    <x v="13"/>
    <x v="26"/>
    <x v="434"/>
    <x v="511"/>
    <x v="534"/>
    <x v="35"/>
  </r>
  <r>
    <x v="281"/>
    <x v="97"/>
    <x v="9"/>
    <x v="37"/>
    <x v="38"/>
    <x v="0"/>
    <x v="0"/>
    <x v="0"/>
    <x v="497"/>
    <x v="535"/>
    <x v="0"/>
  </r>
  <r>
    <x v="281"/>
    <x v="262"/>
    <x v="2"/>
    <x v="45"/>
    <x v="46"/>
    <x v="382"/>
    <x v="3"/>
    <x v="435"/>
    <x v="512"/>
    <x v="536"/>
    <x v="3"/>
  </r>
  <r>
    <x v="282"/>
    <x v="263"/>
    <x v="2"/>
    <x v="37"/>
    <x v="38"/>
    <x v="383"/>
    <x v="26"/>
    <x v="436"/>
    <x v="513"/>
    <x v="537"/>
    <x v="91"/>
  </r>
  <r>
    <x v="283"/>
    <x v="264"/>
    <x v="3"/>
    <x v="37"/>
    <x v="38"/>
    <x v="384"/>
    <x v="31"/>
    <x v="437"/>
    <x v="514"/>
    <x v="538"/>
    <x v="19"/>
  </r>
  <r>
    <x v="284"/>
    <x v="97"/>
    <x v="9"/>
    <x v="37"/>
    <x v="38"/>
    <x v="0"/>
    <x v="0"/>
    <x v="0"/>
    <x v="515"/>
    <x v="539"/>
    <x v="0"/>
  </r>
  <r>
    <x v="284"/>
    <x v="265"/>
    <x v="4"/>
    <x v="1"/>
    <x v="1"/>
    <x v="0"/>
    <x v="0"/>
    <x v="0"/>
    <x v="516"/>
    <x v="0"/>
    <x v="0"/>
  </r>
  <r>
    <x v="285"/>
    <x v="266"/>
    <x v="1"/>
    <x v="1"/>
    <x v="1"/>
    <x v="0"/>
    <x v="0"/>
    <x v="0"/>
    <x v="517"/>
    <x v="540"/>
    <x v="0"/>
  </r>
  <r>
    <x v="286"/>
    <x v="267"/>
    <x v="6"/>
    <x v="24"/>
    <x v="24"/>
    <x v="0"/>
    <x v="78"/>
    <x v="438"/>
    <x v="518"/>
    <x v="541"/>
    <x v="0"/>
  </r>
  <r>
    <x v="286"/>
    <x v="267"/>
    <x v="3"/>
    <x v="16"/>
    <x v="16"/>
    <x v="385"/>
    <x v="3"/>
    <x v="439"/>
    <x v="519"/>
    <x v="542"/>
    <x v="0"/>
  </r>
  <r>
    <x v="286"/>
    <x v="267"/>
    <x v="2"/>
    <x v="37"/>
    <x v="38"/>
    <x v="386"/>
    <x v="65"/>
    <x v="440"/>
    <x v="520"/>
    <x v="543"/>
    <x v="34"/>
  </r>
  <r>
    <x v="287"/>
    <x v="268"/>
    <x v="22"/>
    <x v="24"/>
    <x v="47"/>
    <x v="0"/>
    <x v="79"/>
    <x v="0"/>
    <x v="0"/>
    <x v="543"/>
    <x v="93"/>
  </r>
  <r>
    <x v="287"/>
    <x v="268"/>
    <x v="2"/>
    <x v="46"/>
    <x v="48"/>
    <x v="387"/>
    <x v="13"/>
    <x v="441"/>
    <x v="521"/>
    <x v="544"/>
    <x v="11"/>
  </r>
  <r>
    <x v="287"/>
    <x v="267"/>
    <x v="10"/>
    <x v="16"/>
    <x v="16"/>
    <x v="0"/>
    <x v="0"/>
    <x v="442"/>
    <x v="522"/>
    <x v="545"/>
    <x v="0"/>
  </r>
  <r>
    <x v="288"/>
    <x v="269"/>
    <x v="2"/>
    <x v="37"/>
    <x v="38"/>
    <x v="388"/>
    <x v="26"/>
    <x v="443"/>
    <x v="523"/>
    <x v="546"/>
    <x v="61"/>
  </r>
  <r>
    <x v="288"/>
    <x v="269"/>
    <x v="3"/>
    <x v="46"/>
    <x v="48"/>
    <x v="389"/>
    <x v="13"/>
    <x v="444"/>
    <x v="524"/>
    <x v="547"/>
    <x v="0"/>
  </r>
  <r>
    <x v="289"/>
    <x v="270"/>
    <x v="2"/>
    <x v="47"/>
    <x v="49"/>
    <x v="390"/>
    <x v="17"/>
    <x v="445"/>
    <x v="525"/>
    <x v="548"/>
    <x v="18"/>
  </r>
  <r>
    <x v="290"/>
    <x v="271"/>
    <x v="3"/>
    <x v="45"/>
    <x v="46"/>
    <x v="391"/>
    <x v="3"/>
    <x v="446"/>
    <x v="526"/>
    <x v="549"/>
    <x v="0"/>
  </r>
  <r>
    <x v="290"/>
    <x v="271"/>
    <x v="3"/>
    <x v="47"/>
    <x v="49"/>
    <x v="392"/>
    <x v="17"/>
    <x v="447"/>
    <x v="527"/>
    <x v="550"/>
    <x v="0"/>
  </r>
  <r>
    <x v="290"/>
    <x v="271"/>
    <x v="2"/>
    <x v="37"/>
    <x v="38"/>
    <x v="311"/>
    <x v="26"/>
    <x v="448"/>
    <x v="528"/>
    <x v="551"/>
    <x v="62"/>
  </r>
  <r>
    <x v="290"/>
    <x v="271"/>
    <x v="2"/>
    <x v="24"/>
    <x v="24"/>
    <x v="393"/>
    <x v="80"/>
    <x v="449"/>
    <x v="529"/>
    <x v="552"/>
    <x v="94"/>
  </r>
  <r>
    <x v="291"/>
    <x v="272"/>
    <x v="3"/>
    <x v="37"/>
    <x v="38"/>
    <x v="394"/>
    <x v="26"/>
    <x v="450"/>
    <x v="530"/>
    <x v="553"/>
    <x v="61"/>
  </r>
  <r>
    <x v="291"/>
    <x v="272"/>
    <x v="3"/>
    <x v="24"/>
    <x v="24"/>
    <x v="395"/>
    <x v="80"/>
    <x v="451"/>
    <x v="531"/>
    <x v="554"/>
    <x v="93"/>
  </r>
  <r>
    <x v="292"/>
    <x v="97"/>
    <x v="9"/>
    <x v="24"/>
    <x v="24"/>
    <x v="0"/>
    <x v="0"/>
    <x v="0"/>
    <x v="532"/>
    <x v="555"/>
    <x v="0"/>
  </r>
  <r>
    <x v="292"/>
    <x v="97"/>
    <x v="9"/>
    <x v="24"/>
    <x v="24"/>
    <x v="0"/>
    <x v="0"/>
    <x v="0"/>
    <x v="533"/>
    <x v="556"/>
    <x v="0"/>
  </r>
  <r>
    <x v="293"/>
    <x v="273"/>
    <x v="2"/>
    <x v="37"/>
    <x v="38"/>
    <x v="145"/>
    <x v="26"/>
    <x v="452"/>
    <x v="534"/>
    <x v="557"/>
    <x v="62"/>
  </r>
  <r>
    <x v="294"/>
    <x v="274"/>
    <x v="2"/>
    <x v="26"/>
    <x v="27"/>
    <x v="396"/>
    <x v="34"/>
    <x v="453"/>
    <x v="535"/>
    <x v="558"/>
    <x v="95"/>
  </r>
  <r>
    <x v="295"/>
    <x v="275"/>
    <x v="5"/>
    <x v="1"/>
    <x v="1"/>
    <x v="0"/>
    <x v="0"/>
    <x v="0"/>
    <x v="536"/>
    <x v="559"/>
    <x v="0"/>
  </r>
  <r>
    <x v="296"/>
    <x v="276"/>
    <x v="3"/>
    <x v="26"/>
    <x v="27"/>
    <x v="397"/>
    <x v="34"/>
    <x v="454"/>
    <x v="537"/>
    <x v="560"/>
    <x v="19"/>
  </r>
  <r>
    <x v="296"/>
    <x v="276"/>
    <x v="2"/>
    <x v="24"/>
    <x v="24"/>
    <x v="398"/>
    <x v="65"/>
    <x v="145"/>
    <x v="538"/>
    <x v="561"/>
    <x v="96"/>
  </r>
  <r>
    <x v="297"/>
    <x v="277"/>
    <x v="1"/>
    <x v="1"/>
    <x v="1"/>
    <x v="0"/>
    <x v="0"/>
    <x v="0"/>
    <x v="289"/>
    <x v="562"/>
    <x v="0"/>
  </r>
  <r>
    <x v="297"/>
    <x v="277"/>
    <x v="2"/>
    <x v="37"/>
    <x v="38"/>
    <x v="399"/>
    <x v="62"/>
    <x v="455"/>
    <x v="539"/>
    <x v="563"/>
    <x v="97"/>
  </r>
  <r>
    <x v="298"/>
    <x v="278"/>
    <x v="3"/>
    <x v="37"/>
    <x v="38"/>
    <x v="400"/>
    <x v="62"/>
    <x v="456"/>
    <x v="540"/>
    <x v="564"/>
    <x v="62"/>
  </r>
  <r>
    <x v="298"/>
    <x v="278"/>
    <x v="2"/>
    <x v="37"/>
    <x v="38"/>
    <x v="401"/>
    <x v="62"/>
    <x v="457"/>
    <x v="541"/>
    <x v="565"/>
    <x v="97"/>
  </r>
  <r>
    <x v="299"/>
    <x v="279"/>
    <x v="3"/>
    <x v="26"/>
    <x v="27"/>
    <x v="402"/>
    <x v="26"/>
    <x v="458"/>
    <x v="542"/>
    <x v="566"/>
    <x v="0"/>
  </r>
  <r>
    <x v="300"/>
    <x v="280"/>
    <x v="3"/>
    <x v="24"/>
    <x v="24"/>
    <x v="403"/>
    <x v="65"/>
    <x v="459"/>
    <x v="543"/>
    <x v="567"/>
    <x v="93"/>
  </r>
  <r>
    <x v="300"/>
    <x v="280"/>
    <x v="2"/>
    <x v="16"/>
    <x v="16"/>
    <x v="404"/>
    <x v="16"/>
    <x v="460"/>
    <x v="544"/>
    <x v="568"/>
    <x v="28"/>
  </r>
  <r>
    <x v="301"/>
    <x v="97"/>
    <x v="9"/>
    <x v="24"/>
    <x v="24"/>
    <x v="0"/>
    <x v="0"/>
    <x v="0"/>
    <x v="545"/>
    <x v="569"/>
    <x v="0"/>
  </r>
  <r>
    <x v="301"/>
    <x v="97"/>
    <x v="9"/>
    <x v="24"/>
    <x v="24"/>
    <x v="0"/>
    <x v="0"/>
    <x v="0"/>
    <x v="316"/>
    <x v="570"/>
    <x v="0"/>
  </r>
  <r>
    <x v="302"/>
    <x v="281"/>
    <x v="11"/>
    <x v="20"/>
    <x v="20"/>
    <x v="0"/>
    <x v="16"/>
    <x v="0"/>
    <x v="0"/>
    <x v="570"/>
    <x v="0"/>
  </r>
  <r>
    <x v="302"/>
    <x v="281"/>
    <x v="10"/>
    <x v="16"/>
    <x v="16"/>
    <x v="0"/>
    <x v="0"/>
    <x v="461"/>
    <x v="546"/>
    <x v="571"/>
    <x v="0"/>
  </r>
  <r>
    <x v="303"/>
    <x v="282"/>
    <x v="3"/>
    <x v="37"/>
    <x v="38"/>
    <x v="399"/>
    <x v="81"/>
    <x v="462"/>
    <x v="547"/>
    <x v="572"/>
    <x v="0"/>
  </r>
  <r>
    <x v="304"/>
    <x v="283"/>
    <x v="2"/>
    <x v="37"/>
    <x v="38"/>
    <x v="193"/>
    <x v="26"/>
    <x v="463"/>
    <x v="548"/>
    <x v="573"/>
    <x v="19"/>
  </r>
  <r>
    <x v="305"/>
    <x v="284"/>
    <x v="2"/>
    <x v="37"/>
    <x v="38"/>
    <x v="405"/>
    <x v="19"/>
    <x v="464"/>
    <x v="549"/>
    <x v="574"/>
    <x v="38"/>
  </r>
  <r>
    <x v="305"/>
    <x v="284"/>
    <x v="3"/>
    <x v="37"/>
    <x v="38"/>
    <x v="399"/>
    <x v="26"/>
    <x v="465"/>
    <x v="550"/>
    <x v="575"/>
    <x v="21"/>
  </r>
  <r>
    <x v="305"/>
    <x v="284"/>
    <x v="2"/>
    <x v="37"/>
    <x v="38"/>
    <x v="405"/>
    <x v="19"/>
    <x v="464"/>
    <x v="549"/>
    <x v="576"/>
    <x v="34"/>
  </r>
  <r>
    <x v="306"/>
    <x v="285"/>
    <x v="2"/>
    <x v="26"/>
    <x v="27"/>
    <x v="406"/>
    <x v="19"/>
    <x v="466"/>
    <x v="551"/>
    <x v="577"/>
    <x v="21"/>
  </r>
  <r>
    <x v="306"/>
    <x v="285"/>
    <x v="2"/>
    <x v="37"/>
    <x v="38"/>
    <x v="407"/>
    <x v="19"/>
    <x v="467"/>
    <x v="552"/>
    <x v="578"/>
    <x v="37"/>
  </r>
  <r>
    <x v="307"/>
    <x v="286"/>
    <x v="1"/>
    <x v="1"/>
    <x v="1"/>
    <x v="0"/>
    <x v="0"/>
    <x v="0"/>
    <x v="553"/>
    <x v="579"/>
    <x v="0"/>
  </r>
  <r>
    <x v="307"/>
    <x v="286"/>
    <x v="2"/>
    <x v="48"/>
    <x v="50"/>
    <x v="408"/>
    <x v="82"/>
    <x v="468"/>
    <x v="554"/>
    <x v="580"/>
    <x v="98"/>
  </r>
  <r>
    <x v="307"/>
    <x v="286"/>
    <x v="2"/>
    <x v="48"/>
    <x v="50"/>
    <x v="409"/>
    <x v="83"/>
    <x v="469"/>
    <x v="555"/>
    <x v="581"/>
    <x v="99"/>
  </r>
  <r>
    <x v="307"/>
    <x v="286"/>
    <x v="3"/>
    <x v="26"/>
    <x v="27"/>
    <x v="410"/>
    <x v="19"/>
    <x v="470"/>
    <x v="556"/>
    <x v="582"/>
    <x v="0"/>
  </r>
  <r>
    <x v="307"/>
    <x v="286"/>
    <x v="3"/>
    <x v="37"/>
    <x v="38"/>
    <x v="411"/>
    <x v="19"/>
    <x v="471"/>
    <x v="557"/>
    <x v="583"/>
    <x v="34"/>
  </r>
  <r>
    <x v="308"/>
    <x v="287"/>
    <x v="3"/>
    <x v="48"/>
    <x v="50"/>
    <x v="412"/>
    <x v="84"/>
    <x v="472"/>
    <x v="558"/>
    <x v="584"/>
    <x v="72"/>
  </r>
  <r>
    <x v="308"/>
    <x v="287"/>
    <x v="3"/>
    <x v="48"/>
    <x v="50"/>
    <x v="413"/>
    <x v="60"/>
    <x v="473"/>
    <x v="559"/>
    <x v="585"/>
    <x v="0"/>
  </r>
  <r>
    <x v="308"/>
    <x v="287"/>
    <x v="2"/>
    <x v="16"/>
    <x v="16"/>
    <x v="414"/>
    <x v="18"/>
    <x v="474"/>
    <x v="560"/>
    <x v="586"/>
    <x v="100"/>
  </r>
  <r>
    <x v="309"/>
    <x v="288"/>
    <x v="1"/>
    <x v="1"/>
    <x v="1"/>
    <x v="0"/>
    <x v="0"/>
    <x v="0"/>
    <x v="561"/>
    <x v="587"/>
    <x v="0"/>
  </r>
  <r>
    <x v="309"/>
    <x v="288"/>
    <x v="23"/>
    <x v="49"/>
    <x v="51"/>
    <x v="0"/>
    <x v="0"/>
    <x v="0"/>
    <x v="562"/>
    <x v="588"/>
    <x v="0"/>
  </r>
  <r>
    <x v="309"/>
    <x v="288"/>
    <x v="3"/>
    <x v="37"/>
    <x v="38"/>
    <x v="323"/>
    <x v="30"/>
    <x v="475"/>
    <x v="563"/>
    <x v="589"/>
    <x v="0"/>
  </r>
  <r>
    <x v="310"/>
    <x v="289"/>
    <x v="24"/>
    <x v="49"/>
    <x v="51"/>
    <x v="0"/>
    <x v="85"/>
    <x v="0"/>
    <x v="564"/>
    <x v="590"/>
    <x v="0"/>
  </r>
  <r>
    <x v="310"/>
    <x v="288"/>
    <x v="11"/>
    <x v="20"/>
    <x v="20"/>
    <x v="0"/>
    <x v="18"/>
    <x v="0"/>
    <x v="0"/>
    <x v="590"/>
    <x v="0"/>
  </r>
  <r>
    <x v="310"/>
    <x v="289"/>
    <x v="2"/>
    <x v="48"/>
    <x v="50"/>
    <x v="415"/>
    <x v="31"/>
    <x v="476"/>
    <x v="565"/>
    <x v="589"/>
    <x v="35"/>
  </r>
  <r>
    <x v="310"/>
    <x v="288"/>
    <x v="10"/>
    <x v="16"/>
    <x v="16"/>
    <x v="0"/>
    <x v="0"/>
    <x v="477"/>
    <x v="566"/>
    <x v="591"/>
    <x v="0"/>
  </r>
  <r>
    <x v="311"/>
    <x v="290"/>
    <x v="4"/>
    <x v="1"/>
    <x v="1"/>
    <x v="0"/>
    <x v="0"/>
    <x v="0"/>
    <x v="567"/>
    <x v="592"/>
    <x v="0"/>
  </r>
  <r>
    <x v="311"/>
    <x v="290"/>
    <x v="23"/>
    <x v="49"/>
    <x v="51"/>
    <x v="0"/>
    <x v="0"/>
    <x v="0"/>
    <x v="568"/>
    <x v="593"/>
    <x v="0"/>
  </r>
  <r>
    <x v="311"/>
    <x v="290"/>
    <x v="3"/>
    <x v="48"/>
    <x v="50"/>
    <x v="416"/>
    <x v="31"/>
    <x v="478"/>
    <x v="569"/>
    <x v="594"/>
    <x v="0"/>
  </r>
  <r>
    <x v="311"/>
    <x v="290"/>
    <x v="2"/>
    <x v="50"/>
    <x v="52"/>
    <x v="417"/>
    <x v="3"/>
    <x v="479"/>
    <x v="570"/>
    <x v="589"/>
    <x v="3"/>
  </r>
  <r>
    <x v="312"/>
    <x v="291"/>
    <x v="24"/>
    <x v="49"/>
    <x v="51"/>
    <x v="0"/>
    <x v="86"/>
    <x v="0"/>
    <x v="571"/>
    <x v="595"/>
    <x v="0"/>
  </r>
  <r>
    <x v="312"/>
    <x v="291"/>
    <x v="2"/>
    <x v="43"/>
    <x v="44"/>
    <x v="370"/>
    <x v="26"/>
    <x v="480"/>
    <x v="572"/>
    <x v="596"/>
    <x v="73"/>
  </r>
  <r>
    <x v="312"/>
    <x v="291"/>
    <x v="2"/>
    <x v="51"/>
    <x v="53"/>
    <x v="418"/>
    <x v="87"/>
    <x v="481"/>
    <x v="573"/>
    <x v="597"/>
    <x v="101"/>
  </r>
  <r>
    <x v="312"/>
    <x v="291"/>
    <x v="3"/>
    <x v="43"/>
    <x v="44"/>
    <x v="419"/>
    <x v="62"/>
    <x v="263"/>
    <x v="574"/>
    <x v="598"/>
    <x v="19"/>
  </r>
  <r>
    <x v="312"/>
    <x v="291"/>
    <x v="2"/>
    <x v="44"/>
    <x v="45"/>
    <x v="42"/>
    <x v="31"/>
    <x v="482"/>
    <x v="575"/>
    <x v="589"/>
    <x v="35"/>
  </r>
  <r>
    <x v="313"/>
    <x v="292"/>
    <x v="24"/>
    <x v="49"/>
    <x v="51"/>
    <x v="0"/>
    <x v="88"/>
    <x v="0"/>
    <x v="576"/>
    <x v="599"/>
    <x v="0"/>
  </r>
  <r>
    <x v="313"/>
    <x v="292"/>
    <x v="3"/>
    <x v="44"/>
    <x v="45"/>
    <x v="120"/>
    <x v="65"/>
    <x v="483"/>
    <x v="577"/>
    <x v="600"/>
    <x v="61"/>
  </r>
  <r>
    <x v="313"/>
    <x v="292"/>
    <x v="2"/>
    <x v="37"/>
    <x v="38"/>
    <x v="323"/>
    <x v="89"/>
    <x v="484"/>
    <x v="578"/>
    <x v="601"/>
    <x v="102"/>
  </r>
  <r>
    <x v="313"/>
    <x v="292"/>
    <x v="3"/>
    <x v="44"/>
    <x v="45"/>
    <x v="83"/>
    <x v="59"/>
    <x v="418"/>
    <x v="579"/>
    <x v="602"/>
    <x v="0"/>
  </r>
  <r>
    <x v="313"/>
    <x v="292"/>
    <x v="2"/>
    <x v="48"/>
    <x v="50"/>
    <x v="420"/>
    <x v="31"/>
    <x v="485"/>
    <x v="580"/>
    <x v="589"/>
    <x v="35"/>
  </r>
  <r>
    <x v="314"/>
    <x v="293"/>
    <x v="24"/>
    <x v="49"/>
    <x v="51"/>
    <x v="0"/>
    <x v="90"/>
    <x v="0"/>
    <x v="581"/>
    <x v="603"/>
    <x v="0"/>
  </r>
  <r>
    <x v="314"/>
    <x v="293"/>
    <x v="3"/>
    <x v="48"/>
    <x v="50"/>
    <x v="421"/>
    <x v="31"/>
    <x v="486"/>
    <x v="582"/>
    <x v="604"/>
    <x v="0"/>
  </r>
  <r>
    <x v="314"/>
    <x v="293"/>
    <x v="2"/>
    <x v="43"/>
    <x v="44"/>
    <x v="422"/>
    <x v="26"/>
    <x v="487"/>
    <x v="583"/>
    <x v="589"/>
    <x v="31"/>
  </r>
  <r>
    <x v="315"/>
    <x v="294"/>
    <x v="23"/>
    <x v="49"/>
    <x v="51"/>
    <x v="0"/>
    <x v="0"/>
    <x v="0"/>
    <x v="584"/>
    <x v="605"/>
    <x v="0"/>
  </r>
  <r>
    <x v="315"/>
    <x v="294"/>
    <x v="2"/>
    <x v="50"/>
    <x v="52"/>
    <x v="423"/>
    <x v="3"/>
    <x v="488"/>
    <x v="585"/>
    <x v="606"/>
    <x v="11"/>
  </r>
  <r>
    <x v="315"/>
    <x v="294"/>
    <x v="3"/>
    <x v="37"/>
    <x v="38"/>
    <x v="314"/>
    <x v="89"/>
    <x v="489"/>
    <x v="586"/>
    <x v="607"/>
    <x v="0"/>
  </r>
  <r>
    <x v="315"/>
    <x v="294"/>
    <x v="2"/>
    <x v="22"/>
    <x v="22"/>
    <x v="424"/>
    <x v="31"/>
    <x v="490"/>
    <x v="587"/>
    <x v="589"/>
    <x v="35"/>
  </r>
  <r>
    <x v="316"/>
    <x v="295"/>
    <x v="24"/>
    <x v="49"/>
    <x v="51"/>
    <x v="0"/>
    <x v="91"/>
    <x v="0"/>
    <x v="588"/>
    <x v="608"/>
    <x v="0"/>
  </r>
  <r>
    <x v="316"/>
    <x v="295"/>
    <x v="3"/>
    <x v="22"/>
    <x v="22"/>
    <x v="425"/>
    <x v="31"/>
    <x v="491"/>
    <x v="589"/>
    <x v="609"/>
    <x v="0"/>
  </r>
  <r>
    <x v="316"/>
    <x v="295"/>
    <x v="2"/>
    <x v="48"/>
    <x v="50"/>
    <x v="426"/>
    <x v="31"/>
    <x v="492"/>
    <x v="590"/>
    <x v="610"/>
    <x v="35"/>
  </r>
  <r>
    <x v="316"/>
    <x v="295"/>
    <x v="2"/>
    <x v="48"/>
    <x v="50"/>
    <x v="427"/>
    <x v="31"/>
    <x v="493"/>
    <x v="591"/>
    <x v="589"/>
    <x v="75"/>
  </r>
  <r>
    <x v="317"/>
    <x v="296"/>
    <x v="24"/>
    <x v="49"/>
    <x v="51"/>
    <x v="0"/>
    <x v="92"/>
    <x v="0"/>
    <x v="592"/>
    <x v="611"/>
    <x v="0"/>
  </r>
  <r>
    <x v="317"/>
    <x v="296"/>
    <x v="2"/>
    <x v="37"/>
    <x v="38"/>
    <x v="74"/>
    <x v="19"/>
    <x v="494"/>
    <x v="593"/>
    <x v="612"/>
    <x v="21"/>
  </r>
  <r>
    <x v="317"/>
    <x v="296"/>
    <x v="3"/>
    <x v="48"/>
    <x v="50"/>
    <x v="428"/>
    <x v="67"/>
    <x v="495"/>
    <x v="594"/>
    <x v="613"/>
    <x v="0"/>
  </r>
  <r>
    <x v="317"/>
    <x v="296"/>
    <x v="2"/>
    <x v="51"/>
    <x v="53"/>
    <x v="113"/>
    <x v="87"/>
    <x v="496"/>
    <x v="595"/>
    <x v="589"/>
    <x v="56"/>
  </r>
  <r>
    <x v="318"/>
    <x v="297"/>
    <x v="23"/>
    <x v="49"/>
    <x v="51"/>
    <x v="0"/>
    <x v="0"/>
    <x v="0"/>
    <x v="596"/>
    <x v="614"/>
    <x v="0"/>
  </r>
  <r>
    <x v="318"/>
    <x v="297"/>
    <x v="3"/>
    <x v="37"/>
    <x v="38"/>
    <x v="429"/>
    <x v="19"/>
    <x v="497"/>
    <x v="597"/>
    <x v="615"/>
    <x v="0"/>
  </r>
  <r>
    <x v="318"/>
    <x v="297"/>
    <x v="2"/>
    <x v="43"/>
    <x v="44"/>
    <x v="84"/>
    <x v="13"/>
    <x v="498"/>
    <x v="598"/>
    <x v="589"/>
    <x v="34"/>
  </r>
  <r>
    <x v="319"/>
    <x v="298"/>
    <x v="1"/>
    <x v="1"/>
    <x v="1"/>
    <x v="0"/>
    <x v="0"/>
    <x v="0"/>
    <x v="599"/>
    <x v="616"/>
    <x v="0"/>
  </r>
  <r>
    <x v="319"/>
    <x v="298"/>
    <x v="24"/>
    <x v="49"/>
    <x v="51"/>
    <x v="0"/>
    <x v="93"/>
    <x v="0"/>
    <x v="600"/>
    <x v="617"/>
    <x v="0"/>
  </r>
  <r>
    <x v="319"/>
    <x v="298"/>
    <x v="2"/>
    <x v="16"/>
    <x v="16"/>
    <x v="430"/>
    <x v="1"/>
    <x v="499"/>
    <x v="601"/>
    <x v="618"/>
    <x v="1"/>
  </r>
  <r>
    <x v="319"/>
    <x v="298"/>
    <x v="2"/>
    <x v="16"/>
    <x v="16"/>
    <x v="164"/>
    <x v="8"/>
    <x v="500"/>
    <x v="602"/>
    <x v="589"/>
    <x v="100"/>
  </r>
  <r>
    <x v="320"/>
    <x v="298"/>
    <x v="11"/>
    <x v="20"/>
    <x v="20"/>
    <x v="0"/>
    <x v="1"/>
    <x v="0"/>
    <x v="0"/>
    <x v="589"/>
    <x v="0"/>
  </r>
  <r>
    <x v="320"/>
    <x v="298"/>
    <x v="11"/>
    <x v="20"/>
    <x v="20"/>
    <x v="0"/>
    <x v="8"/>
    <x v="0"/>
    <x v="0"/>
    <x v="589"/>
    <x v="0"/>
  </r>
  <r>
    <x v="320"/>
    <x v="298"/>
    <x v="10"/>
    <x v="16"/>
    <x v="16"/>
    <x v="0"/>
    <x v="0"/>
    <x v="501"/>
    <x v="603"/>
    <x v="619"/>
    <x v="0"/>
  </r>
  <r>
    <x v="321"/>
    <x v="299"/>
    <x v="23"/>
    <x v="49"/>
    <x v="51"/>
    <x v="0"/>
    <x v="0"/>
    <x v="0"/>
    <x v="604"/>
    <x v="620"/>
    <x v="0"/>
  </r>
  <r>
    <x v="321"/>
    <x v="299"/>
    <x v="2"/>
    <x v="16"/>
    <x v="16"/>
    <x v="431"/>
    <x v="8"/>
    <x v="502"/>
    <x v="605"/>
    <x v="589"/>
    <x v="7"/>
  </r>
  <r>
    <x v="322"/>
    <x v="300"/>
    <x v="24"/>
    <x v="49"/>
    <x v="51"/>
    <x v="0"/>
    <x v="94"/>
    <x v="0"/>
    <x v="606"/>
    <x v="621"/>
    <x v="0"/>
  </r>
  <r>
    <x v="322"/>
    <x v="300"/>
    <x v="2"/>
    <x v="51"/>
    <x v="53"/>
    <x v="432"/>
    <x v="13"/>
    <x v="503"/>
    <x v="607"/>
    <x v="589"/>
    <x v="103"/>
  </r>
  <r>
    <x v="323"/>
    <x v="301"/>
    <x v="24"/>
    <x v="49"/>
    <x v="51"/>
    <x v="0"/>
    <x v="95"/>
    <x v="0"/>
    <x v="608"/>
    <x v="622"/>
    <x v="0"/>
  </r>
  <r>
    <x v="323"/>
    <x v="300"/>
    <x v="11"/>
    <x v="20"/>
    <x v="20"/>
    <x v="0"/>
    <x v="8"/>
    <x v="0"/>
    <x v="0"/>
    <x v="622"/>
    <x v="0"/>
  </r>
  <r>
    <x v="323"/>
    <x v="301"/>
    <x v="2"/>
    <x v="37"/>
    <x v="38"/>
    <x v="145"/>
    <x v="19"/>
    <x v="504"/>
    <x v="609"/>
    <x v="589"/>
    <x v="21"/>
  </r>
  <r>
    <x v="323"/>
    <x v="300"/>
    <x v="10"/>
    <x v="16"/>
    <x v="16"/>
    <x v="0"/>
    <x v="0"/>
    <x v="505"/>
    <x v="610"/>
    <x v="623"/>
    <x v="0"/>
  </r>
  <r>
    <x v="324"/>
    <x v="302"/>
    <x v="23"/>
    <x v="49"/>
    <x v="51"/>
    <x v="0"/>
    <x v="0"/>
    <x v="0"/>
    <x v="611"/>
    <x v="0"/>
    <x v="0"/>
  </r>
  <r>
    <x v="325"/>
    <x v="303"/>
    <x v="24"/>
    <x v="49"/>
    <x v="51"/>
    <x v="0"/>
    <x v="96"/>
    <x v="0"/>
    <x v="612"/>
    <x v="624"/>
    <x v="0"/>
  </r>
  <r>
    <x v="325"/>
    <x v="303"/>
    <x v="2"/>
    <x v="51"/>
    <x v="53"/>
    <x v="218"/>
    <x v="65"/>
    <x v="506"/>
    <x v="613"/>
    <x v="589"/>
    <x v="68"/>
  </r>
  <r>
    <x v="326"/>
    <x v="304"/>
    <x v="24"/>
    <x v="49"/>
    <x v="51"/>
    <x v="0"/>
    <x v="97"/>
    <x v="0"/>
    <x v="614"/>
    <x v="625"/>
    <x v="0"/>
  </r>
  <r>
    <x v="326"/>
    <x v="304"/>
    <x v="2"/>
    <x v="16"/>
    <x v="16"/>
    <x v="433"/>
    <x v="4"/>
    <x v="507"/>
    <x v="615"/>
    <x v="589"/>
    <x v="4"/>
  </r>
  <r>
    <x v="327"/>
    <x v="305"/>
    <x v="20"/>
    <x v="23"/>
    <x v="26"/>
    <x v="0"/>
    <x v="75"/>
    <x v="0"/>
    <x v="0"/>
    <x v="589"/>
    <x v="0"/>
  </r>
  <r>
    <x v="327"/>
    <x v="305"/>
    <x v="21"/>
    <x v="23"/>
    <x v="26"/>
    <x v="0"/>
    <x v="98"/>
    <x v="0"/>
    <x v="0"/>
    <x v="589"/>
    <x v="104"/>
  </r>
  <r>
    <x v="328"/>
    <x v="305"/>
    <x v="11"/>
    <x v="20"/>
    <x v="20"/>
    <x v="0"/>
    <x v="4"/>
    <x v="0"/>
    <x v="0"/>
    <x v="589"/>
    <x v="0"/>
  </r>
  <r>
    <x v="328"/>
    <x v="305"/>
    <x v="10"/>
    <x v="16"/>
    <x v="16"/>
    <x v="0"/>
    <x v="0"/>
    <x v="508"/>
    <x v="616"/>
    <x v="626"/>
    <x v="0"/>
  </r>
  <r>
    <x v="329"/>
    <x v="306"/>
    <x v="5"/>
    <x v="1"/>
    <x v="1"/>
    <x v="0"/>
    <x v="0"/>
    <x v="0"/>
    <x v="617"/>
    <x v="627"/>
    <x v="0"/>
  </r>
  <r>
    <x v="329"/>
    <x v="306"/>
    <x v="23"/>
    <x v="49"/>
    <x v="51"/>
    <x v="0"/>
    <x v="0"/>
    <x v="0"/>
    <x v="618"/>
    <x v="628"/>
    <x v="0"/>
  </r>
  <r>
    <x v="330"/>
    <x v="97"/>
    <x v="25"/>
    <x v="49"/>
    <x v="51"/>
    <x v="0"/>
    <x v="0"/>
    <x v="509"/>
    <x v="619"/>
    <x v="629"/>
    <x v="0"/>
  </r>
  <r>
    <x v="331"/>
    <x v="307"/>
    <x v="24"/>
    <x v="49"/>
    <x v="51"/>
    <x v="0"/>
    <x v="99"/>
    <x v="0"/>
    <x v="620"/>
    <x v="630"/>
    <x v="0"/>
  </r>
  <r>
    <x v="331"/>
    <x v="307"/>
    <x v="2"/>
    <x v="37"/>
    <x v="38"/>
    <x v="434"/>
    <x v="19"/>
    <x v="510"/>
    <x v="621"/>
    <x v="589"/>
    <x v="34"/>
  </r>
  <r>
    <x v="332"/>
    <x v="308"/>
    <x v="24"/>
    <x v="49"/>
    <x v="51"/>
    <x v="0"/>
    <x v="100"/>
    <x v="0"/>
    <x v="622"/>
    <x v="631"/>
    <x v="0"/>
  </r>
  <r>
    <x v="332"/>
    <x v="308"/>
    <x v="2"/>
    <x v="16"/>
    <x v="16"/>
    <x v="404"/>
    <x v="11"/>
    <x v="511"/>
    <x v="623"/>
    <x v="589"/>
    <x v="23"/>
  </r>
  <r>
    <x v="333"/>
    <x v="309"/>
    <x v="1"/>
    <x v="1"/>
    <x v="1"/>
    <x v="0"/>
    <x v="0"/>
    <x v="0"/>
    <x v="624"/>
    <x v="632"/>
    <x v="0"/>
  </r>
  <r>
    <x v="333"/>
    <x v="309"/>
    <x v="24"/>
    <x v="49"/>
    <x v="51"/>
    <x v="0"/>
    <x v="101"/>
    <x v="0"/>
    <x v="625"/>
    <x v="633"/>
    <x v="0"/>
  </r>
  <r>
    <x v="333"/>
    <x v="308"/>
    <x v="11"/>
    <x v="20"/>
    <x v="20"/>
    <x v="0"/>
    <x v="11"/>
    <x v="0"/>
    <x v="0"/>
    <x v="633"/>
    <x v="0"/>
  </r>
  <r>
    <x v="333"/>
    <x v="309"/>
    <x v="2"/>
    <x v="16"/>
    <x v="16"/>
    <x v="435"/>
    <x v="11"/>
    <x v="512"/>
    <x v="626"/>
    <x v="634"/>
    <x v="23"/>
  </r>
  <r>
    <x v="333"/>
    <x v="309"/>
    <x v="7"/>
    <x v="52"/>
    <x v="54"/>
    <x v="436"/>
    <x v="1"/>
    <x v="513"/>
    <x v="627"/>
    <x v="635"/>
    <x v="0"/>
  </r>
  <r>
    <x v="333"/>
    <x v="309"/>
    <x v="7"/>
    <x v="52"/>
    <x v="54"/>
    <x v="437"/>
    <x v="11"/>
    <x v="36"/>
    <x v="628"/>
    <x v="636"/>
    <x v="0"/>
  </r>
  <r>
    <x v="333"/>
    <x v="309"/>
    <x v="7"/>
    <x v="52"/>
    <x v="54"/>
    <x v="438"/>
    <x v="11"/>
    <x v="36"/>
    <x v="628"/>
    <x v="589"/>
    <x v="0"/>
  </r>
  <r>
    <x v="333"/>
    <x v="308"/>
    <x v="10"/>
    <x v="16"/>
    <x v="16"/>
    <x v="0"/>
    <x v="0"/>
    <x v="514"/>
    <x v="629"/>
    <x v="637"/>
    <x v="0"/>
  </r>
  <r>
    <x v="334"/>
    <x v="310"/>
    <x v="4"/>
    <x v="1"/>
    <x v="1"/>
    <x v="0"/>
    <x v="0"/>
    <x v="0"/>
    <x v="630"/>
    <x v="638"/>
    <x v="0"/>
  </r>
  <r>
    <x v="334"/>
    <x v="309"/>
    <x v="11"/>
    <x v="20"/>
    <x v="20"/>
    <x v="0"/>
    <x v="11"/>
    <x v="0"/>
    <x v="0"/>
    <x v="638"/>
    <x v="0"/>
  </r>
  <r>
    <x v="334"/>
    <x v="309"/>
    <x v="10"/>
    <x v="16"/>
    <x v="16"/>
    <x v="0"/>
    <x v="0"/>
    <x v="514"/>
    <x v="629"/>
    <x v="639"/>
    <x v="0"/>
  </r>
  <r>
    <x v="335"/>
    <x v="311"/>
    <x v="23"/>
    <x v="49"/>
    <x v="51"/>
    <x v="0"/>
    <x v="0"/>
    <x v="0"/>
    <x v="631"/>
    <x v="640"/>
    <x v="0"/>
  </r>
  <r>
    <x v="335"/>
    <x v="309"/>
    <x v="8"/>
    <x v="52"/>
    <x v="54"/>
    <x v="436"/>
    <x v="1"/>
    <x v="515"/>
    <x v="632"/>
    <x v="641"/>
    <x v="0"/>
  </r>
  <r>
    <x v="335"/>
    <x v="309"/>
    <x v="8"/>
    <x v="52"/>
    <x v="54"/>
    <x v="437"/>
    <x v="11"/>
    <x v="516"/>
    <x v="633"/>
    <x v="642"/>
    <x v="0"/>
  </r>
  <r>
    <x v="335"/>
    <x v="309"/>
    <x v="8"/>
    <x v="52"/>
    <x v="54"/>
    <x v="438"/>
    <x v="11"/>
    <x v="517"/>
    <x v="634"/>
    <x v="0"/>
    <x v="0"/>
  </r>
  <r>
    <x v="336"/>
    <x v="312"/>
    <x v="24"/>
    <x v="49"/>
    <x v="51"/>
    <x v="0"/>
    <x v="102"/>
    <x v="0"/>
    <x v="635"/>
    <x v="643"/>
    <x v="0"/>
  </r>
  <r>
    <x v="336"/>
    <x v="312"/>
    <x v="2"/>
    <x v="48"/>
    <x v="50"/>
    <x v="439"/>
    <x v="31"/>
    <x v="518"/>
    <x v="636"/>
    <x v="589"/>
    <x v="35"/>
  </r>
  <r>
    <x v="337"/>
    <x v="313"/>
    <x v="23"/>
    <x v="49"/>
    <x v="51"/>
    <x v="0"/>
    <x v="0"/>
    <x v="0"/>
    <x v="637"/>
    <x v="644"/>
    <x v="0"/>
  </r>
  <r>
    <x v="337"/>
    <x v="313"/>
    <x v="3"/>
    <x v="48"/>
    <x v="50"/>
    <x v="440"/>
    <x v="31"/>
    <x v="519"/>
    <x v="638"/>
    <x v="589"/>
    <x v="0"/>
  </r>
  <r>
    <x v="338"/>
    <x v="314"/>
    <x v="23"/>
    <x v="49"/>
    <x v="51"/>
    <x v="0"/>
    <x v="0"/>
    <x v="0"/>
    <x v="639"/>
    <x v="645"/>
    <x v="0"/>
  </r>
  <r>
    <x v="338"/>
    <x v="314"/>
    <x v="3"/>
    <x v="37"/>
    <x v="38"/>
    <x v="311"/>
    <x v="19"/>
    <x v="520"/>
    <x v="640"/>
    <x v="589"/>
    <x v="21"/>
  </r>
  <r>
    <x v="339"/>
    <x v="315"/>
    <x v="24"/>
    <x v="49"/>
    <x v="51"/>
    <x v="0"/>
    <x v="103"/>
    <x v="0"/>
    <x v="641"/>
    <x v="646"/>
    <x v="0"/>
  </r>
  <r>
    <x v="339"/>
    <x v="315"/>
    <x v="2"/>
    <x v="41"/>
    <x v="42"/>
    <x v="340"/>
    <x v="26"/>
    <x v="521"/>
    <x v="642"/>
    <x v="589"/>
    <x v="19"/>
  </r>
  <r>
    <x v="340"/>
    <x v="316"/>
    <x v="23"/>
    <x v="49"/>
    <x v="51"/>
    <x v="0"/>
    <x v="0"/>
    <x v="0"/>
    <x v="643"/>
    <x v="647"/>
    <x v="0"/>
  </r>
  <r>
    <x v="340"/>
    <x v="316"/>
    <x v="3"/>
    <x v="51"/>
    <x v="53"/>
    <x v="441"/>
    <x v="65"/>
    <x v="522"/>
    <x v="644"/>
    <x v="648"/>
    <x v="103"/>
  </r>
  <r>
    <x v="341"/>
    <x v="317"/>
    <x v="24"/>
    <x v="49"/>
    <x v="51"/>
    <x v="0"/>
    <x v="104"/>
    <x v="0"/>
    <x v="645"/>
    <x v="649"/>
    <x v="0"/>
  </r>
  <r>
    <x v="341"/>
    <x v="317"/>
    <x v="2"/>
    <x v="51"/>
    <x v="53"/>
    <x v="442"/>
    <x v="65"/>
    <x v="523"/>
    <x v="646"/>
    <x v="650"/>
    <x v="68"/>
  </r>
  <r>
    <x v="342"/>
    <x v="318"/>
    <x v="24"/>
    <x v="49"/>
    <x v="51"/>
    <x v="0"/>
    <x v="105"/>
    <x v="0"/>
    <x v="647"/>
    <x v="651"/>
    <x v="0"/>
  </r>
  <r>
    <x v="342"/>
    <x v="318"/>
    <x v="3"/>
    <x v="41"/>
    <x v="42"/>
    <x v="392"/>
    <x v="26"/>
    <x v="524"/>
    <x v="648"/>
    <x v="652"/>
    <x v="0"/>
  </r>
  <r>
    <x v="342"/>
    <x v="318"/>
    <x v="3"/>
    <x v="37"/>
    <x v="38"/>
    <x v="282"/>
    <x v="19"/>
    <x v="525"/>
    <x v="649"/>
    <x v="653"/>
    <x v="0"/>
  </r>
  <r>
    <x v="342"/>
    <x v="318"/>
    <x v="2"/>
    <x v="48"/>
    <x v="50"/>
    <x v="443"/>
    <x v="31"/>
    <x v="526"/>
    <x v="650"/>
    <x v="654"/>
    <x v="35"/>
  </r>
  <r>
    <x v="342"/>
    <x v="318"/>
    <x v="7"/>
    <x v="53"/>
    <x v="55"/>
    <x v="444"/>
    <x v="106"/>
    <x v="527"/>
    <x v="651"/>
    <x v="655"/>
    <x v="0"/>
  </r>
  <r>
    <x v="343"/>
    <x v="319"/>
    <x v="23"/>
    <x v="49"/>
    <x v="51"/>
    <x v="0"/>
    <x v="0"/>
    <x v="0"/>
    <x v="652"/>
    <x v="656"/>
    <x v="0"/>
  </r>
  <r>
    <x v="343"/>
    <x v="318"/>
    <x v="8"/>
    <x v="53"/>
    <x v="55"/>
    <x v="444"/>
    <x v="106"/>
    <x v="528"/>
    <x v="653"/>
    <x v="657"/>
    <x v="0"/>
  </r>
  <r>
    <x v="344"/>
    <x v="320"/>
    <x v="24"/>
    <x v="49"/>
    <x v="51"/>
    <x v="0"/>
    <x v="0"/>
    <x v="0"/>
    <x v="32"/>
    <x v="657"/>
    <x v="0"/>
  </r>
  <r>
    <x v="345"/>
    <x v="321"/>
    <x v="24"/>
    <x v="49"/>
    <x v="51"/>
    <x v="0"/>
    <x v="0"/>
    <x v="0"/>
    <x v="654"/>
    <x v="657"/>
    <x v="0"/>
  </r>
  <r>
    <x v="346"/>
    <x v="322"/>
    <x v="24"/>
    <x v="49"/>
    <x v="51"/>
    <x v="0"/>
    <x v="107"/>
    <x v="0"/>
    <x v="655"/>
    <x v="658"/>
    <x v="0"/>
  </r>
  <r>
    <x v="346"/>
    <x v="322"/>
    <x v="3"/>
    <x v="48"/>
    <x v="50"/>
    <x v="445"/>
    <x v="31"/>
    <x v="529"/>
    <x v="656"/>
    <x v="659"/>
    <x v="0"/>
  </r>
  <r>
    <x v="346"/>
    <x v="322"/>
    <x v="7"/>
    <x v="53"/>
    <x v="55"/>
    <x v="285"/>
    <x v="108"/>
    <x v="530"/>
    <x v="657"/>
    <x v="660"/>
    <x v="0"/>
  </r>
  <r>
    <x v="347"/>
    <x v="323"/>
    <x v="23"/>
    <x v="49"/>
    <x v="51"/>
    <x v="0"/>
    <x v="0"/>
    <x v="0"/>
    <x v="658"/>
    <x v="661"/>
    <x v="0"/>
  </r>
  <r>
    <x v="347"/>
    <x v="322"/>
    <x v="8"/>
    <x v="53"/>
    <x v="55"/>
    <x v="285"/>
    <x v="108"/>
    <x v="531"/>
    <x v="659"/>
    <x v="657"/>
    <x v="0"/>
  </r>
  <r>
    <x v="348"/>
    <x v="324"/>
    <x v="24"/>
    <x v="49"/>
    <x v="51"/>
    <x v="0"/>
    <x v="0"/>
    <x v="0"/>
    <x v="32"/>
    <x v="657"/>
    <x v="0"/>
  </r>
  <r>
    <x v="349"/>
    <x v="325"/>
    <x v="24"/>
    <x v="49"/>
    <x v="51"/>
    <x v="0"/>
    <x v="0"/>
    <x v="0"/>
    <x v="660"/>
    <x v="657"/>
    <x v="0"/>
  </r>
  <r>
    <x v="350"/>
    <x v="326"/>
    <x v="24"/>
    <x v="49"/>
    <x v="51"/>
    <x v="0"/>
    <x v="0"/>
    <x v="0"/>
    <x v="654"/>
    <x v="657"/>
    <x v="0"/>
  </r>
  <r>
    <x v="351"/>
    <x v="327"/>
    <x v="24"/>
    <x v="49"/>
    <x v="51"/>
    <x v="0"/>
    <x v="0"/>
    <x v="0"/>
    <x v="32"/>
    <x v="657"/>
    <x v="0"/>
  </r>
  <r>
    <x v="352"/>
    <x v="328"/>
    <x v="24"/>
    <x v="49"/>
    <x v="51"/>
    <x v="0"/>
    <x v="0"/>
    <x v="0"/>
    <x v="32"/>
    <x v="657"/>
    <x v="0"/>
  </r>
  <r>
    <x v="353"/>
    <x v="329"/>
    <x v="24"/>
    <x v="49"/>
    <x v="51"/>
    <x v="0"/>
    <x v="0"/>
    <x v="0"/>
    <x v="32"/>
    <x v="657"/>
    <x v="0"/>
  </r>
  <r>
    <x v="354"/>
    <x v="330"/>
    <x v="24"/>
    <x v="49"/>
    <x v="51"/>
    <x v="0"/>
    <x v="0"/>
    <x v="0"/>
    <x v="32"/>
    <x v="657"/>
    <x v="0"/>
  </r>
  <r>
    <x v="355"/>
    <x v="331"/>
    <x v="24"/>
    <x v="49"/>
    <x v="51"/>
    <x v="0"/>
    <x v="0"/>
    <x v="0"/>
    <x v="654"/>
    <x v="657"/>
    <x v="0"/>
  </r>
  <r>
    <x v="356"/>
    <x v="332"/>
    <x v="24"/>
    <x v="49"/>
    <x v="51"/>
    <x v="0"/>
    <x v="96"/>
    <x v="0"/>
    <x v="661"/>
    <x v="662"/>
    <x v="0"/>
  </r>
  <r>
    <x v="356"/>
    <x v="332"/>
    <x v="2"/>
    <x v="51"/>
    <x v="53"/>
    <x v="218"/>
    <x v="65"/>
    <x v="506"/>
    <x v="613"/>
    <x v="650"/>
    <x v="105"/>
  </r>
  <r>
    <x v="357"/>
    <x v="333"/>
    <x v="23"/>
    <x v="49"/>
    <x v="51"/>
    <x v="0"/>
    <x v="0"/>
    <x v="0"/>
    <x v="662"/>
    <x v="663"/>
    <x v="0"/>
  </r>
  <r>
    <x v="358"/>
    <x v="334"/>
    <x v="24"/>
    <x v="49"/>
    <x v="51"/>
    <x v="0"/>
    <x v="109"/>
    <x v="0"/>
    <x v="663"/>
    <x v="664"/>
    <x v="0"/>
  </r>
  <r>
    <x v="358"/>
    <x v="334"/>
    <x v="2"/>
    <x v="43"/>
    <x v="44"/>
    <x v="446"/>
    <x v="26"/>
    <x v="532"/>
    <x v="664"/>
    <x v="665"/>
    <x v="61"/>
  </r>
  <r>
    <x v="358"/>
    <x v="334"/>
    <x v="3"/>
    <x v="43"/>
    <x v="44"/>
    <x v="447"/>
    <x v="26"/>
    <x v="533"/>
    <x v="665"/>
    <x v="589"/>
    <x v="34"/>
  </r>
  <r>
    <x v="359"/>
    <x v="335"/>
    <x v="23"/>
    <x v="49"/>
    <x v="51"/>
    <x v="0"/>
    <x v="0"/>
    <x v="0"/>
    <x v="666"/>
    <x v="666"/>
    <x v="0"/>
  </r>
  <r>
    <x v="359"/>
    <x v="335"/>
    <x v="3"/>
    <x v="51"/>
    <x v="53"/>
    <x v="442"/>
    <x v="65"/>
    <x v="523"/>
    <x v="667"/>
    <x v="589"/>
    <x v="68"/>
  </r>
  <r>
    <x v="360"/>
    <x v="336"/>
    <x v="24"/>
    <x v="49"/>
    <x v="51"/>
    <x v="0"/>
    <x v="110"/>
    <x v="0"/>
    <x v="668"/>
    <x v="667"/>
    <x v="0"/>
  </r>
  <r>
    <x v="360"/>
    <x v="336"/>
    <x v="2"/>
    <x v="51"/>
    <x v="53"/>
    <x v="442"/>
    <x v="65"/>
    <x v="523"/>
    <x v="646"/>
    <x v="589"/>
    <x v="105"/>
  </r>
  <r>
    <x v="361"/>
    <x v="337"/>
    <x v="23"/>
    <x v="49"/>
    <x v="51"/>
    <x v="0"/>
    <x v="0"/>
    <x v="0"/>
    <x v="669"/>
    <x v="668"/>
    <x v="0"/>
  </r>
  <r>
    <x v="361"/>
    <x v="337"/>
    <x v="3"/>
    <x v="50"/>
    <x v="52"/>
    <x v="448"/>
    <x v="13"/>
    <x v="534"/>
    <x v="670"/>
    <x v="589"/>
    <x v="0"/>
  </r>
  <r>
    <x v="362"/>
    <x v="338"/>
    <x v="24"/>
    <x v="49"/>
    <x v="51"/>
    <x v="0"/>
    <x v="111"/>
    <x v="0"/>
    <x v="671"/>
    <x v="669"/>
    <x v="0"/>
  </r>
  <r>
    <x v="363"/>
    <x v="339"/>
    <x v="23"/>
    <x v="49"/>
    <x v="51"/>
    <x v="0"/>
    <x v="0"/>
    <x v="0"/>
    <x v="672"/>
    <x v="0"/>
    <x v="0"/>
  </r>
  <r>
    <x v="364"/>
    <x v="340"/>
    <x v="5"/>
    <x v="1"/>
    <x v="1"/>
    <x v="0"/>
    <x v="0"/>
    <x v="0"/>
    <x v="673"/>
    <x v="670"/>
    <x v="0"/>
  </r>
  <r>
    <x v="365"/>
    <x v="97"/>
    <x v="25"/>
    <x v="49"/>
    <x v="51"/>
    <x v="0"/>
    <x v="0"/>
    <x v="535"/>
    <x v="674"/>
    <x v="671"/>
    <x v="0"/>
  </r>
  <r>
    <x v="366"/>
    <x v="341"/>
    <x v="24"/>
    <x v="49"/>
    <x v="51"/>
    <x v="0"/>
    <x v="112"/>
    <x v="0"/>
    <x v="675"/>
    <x v="672"/>
    <x v="0"/>
  </r>
  <r>
    <x v="366"/>
    <x v="341"/>
    <x v="2"/>
    <x v="51"/>
    <x v="53"/>
    <x v="449"/>
    <x v="65"/>
    <x v="536"/>
    <x v="676"/>
    <x v="589"/>
    <x v="106"/>
  </r>
  <r>
    <x v="367"/>
    <x v="342"/>
    <x v="24"/>
    <x v="49"/>
    <x v="51"/>
    <x v="0"/>
    <x v="113"/>
    <x v="0"/>
    <x v="677"/>
    <x v="673"/>
    <x v="0"/>
  </r>
  <r>
    <x v="367"/>
    <x v="342"/>
    <x v="2"/>
    <x v="54"/>
    <x v="56"/>
    <x v="450"/>
    <x v="31"/>
    <x v="537"/>
    <x v="678"/>
    <x v="589"/>
    <x v="35"/>
  </r>
  <r>
    <x v="368"/>
    <x v="343"/>
    <x v="24"/>
    <x v="49"/>
    <x v="51"/>
    <x v="0"/>
    <x v="114"/>
    <x v="0"/>
    <x v="679"/>
    <x v="674"/>
    <x v="0"/>
  </r>
  <r>
    <x v="368"/>
    <x v="343"/>
    <x v="2"/>
    <x v="54"/>
    <x v="56"/>
    <x v="451"/>
    <x v="31"/>
    <x v="538"/>
    <x v="680"/>
    <x v="675"/>
    <x v="75"/>
  </r>
  <r>
    <x v="368"/>
    <x v="343"/>
    <x v="3"/>
    <x v="54"/>
    <x v="56"/>
    <x v="452"/>
    <x v="31"/>
    <x v="236"/>
    <x v="681"/>
    <x v="676"/>
    <x v="35"/>
  </r>
  <r>
    <x v="368"/>
    <x v="343"/>
    <x v="2"/>
    <x v="54"/>
    <x v="56"/>
    <x v="453"/>
    <x v="31"/>
    <x v="539"/>
    <x v="682"/>
    <x v="677"/>
    <x v="75"/>
  </r>
  <r>
    <x v="368"/>
    <x v="343"/>
    <x v="2"/>
    <x v="48"/>
    <x v="50"/>
    <x v="454"/>
    <x v="31"/>
    <x v="540"/>
    <x v="683"/>
    <x v="589"/>
    <x v="35"/>
  </r>
  <r>
    <x v="369"/>
    <x v="344"/>
    <x v="24"/>
    <x v="49"/>
    <x v="51"/>
    <x v="0"/>
    <x v="115"/>
    <x v="0"/>
    <x v="684"/>
    <x v="678"/>
    <x v="0"/>
  </r>
  <r>
    <x v="369"/>
    <x v="344"/>
    <x v="2"/>
    <x v="48"/>
    <x v="50"/>
    <x v="455"/>
    <x v="31"/>
    <x v="541"/>
    <x v="685"/>
    <x v="589"/>
    <x v="75"/>
  </r>
  <r>
    <x v="370"/>
    <x v="345"/>
    <x v="23"/>
    <x v="49"/>
    <x v="51"/>
    <x v="0"/>
    <x v="0"/>
    <x v="0"/>
    <x v="686"/>
    <x v="679"/>
    <x v="0"/>
  </r>
  <r>
    <x v="370"/>
    <x v="345"/>
    <x v="3"/>
    <x v="54"/>
    <x v="56"/>
    <x v="456"/>
    <x v="67"/>
    <x v="542"/>
    <x v="687"/>
    <x v="589"/>
    <x v="0"/>
  </r>
  <r>
    <x v="371"/>
    <x v="346"/>
    <x v="23"/>
    <x v="49"/>
    <x v="51"/>
    <x v="0"/>
    <x v="0"/>
    <x v="0"/>
    <x v="688"/>
    <x v="680"/>
    <x v="0"/>
  </r>
  <r>
    <x v="371"/>
    <x v="346"/>
    <x v="3"/>
    <x v="48"/>
    <x v="50"/>
    <x v="457"/>
    <x v="67"/>
    <x v="543"/>
    <x v="689"/>
    <x v="589"/>
    <x v="0"/>
  </r>
  <r>
    <x v="372"/>
    <x v="347"/>
    <x v="23"/>
    <x v="55"/>
    <x v="57"/>
    <x v="0"/>
    <x v="0"/>
    <x v="0"/>
    <x v="265"/>
    <x v="681"/>
    <x v="0"/>
  </r>
  <r>
    <x v="372"/>
    <x v="347"/>
    <x v="24"/>
    <x v="49"/>
    <x v="51"/>
    <x v="0"/>
    <x v="116"/>
    <x v="0"/>
    <x v="690"/>
    <x v="0"/>
    <x v="0"/>
  </r>
  <r>
    <x v="373"/>
    <x v="348"/>
    <x v="24"/>
    <x v="49"/>
    <x v="51"/>
    <x v="0"/>
    <x v="117"/>
    <x v="0"/>
    <x v="691"/>
    <x v="682"/>
    <x v="0"/>
  </r>
  <r>
    <x v="373"/>
    <x v="348"/>
    <x v="2"/>
    <x v="51"/>
    <x v="53"/>
    <x v="218"/>
    <x v="59"/>
    <x v="544"/>
    <x v="692"/>
    <x v="683"/>
    <x v="107"/>
  </r>
  <r>
    <x v="374"/>
    <x v="348"/>
    <x v="24"/>
    <x v="55"/>
    <x v="57"/>
    <x v="0"/>
    <x v="118"/>
    <x v="545"/>
    <x v="693"/>
    <x v="684"/>
    <x v="0"/>
  </r>
  <r>
    <x v="375"/>
    <x v="349"/>
    <x v="23"/>
    <x v="49"/>
    <x v="51"/>
    <x v="0"/>
    <x v="0"/>
    <x v="0"/>
    <x v="694"/>
    <x v="0"/>
    <x v="0"/>
  </r>
  <r>
    <x v="376"/>
    <x v="350"/>
    <x v="24"/>
    <x v="49"/>
    <x v="51"/>
    <x v="0"/>
    <x v="119"/>
    <x v="0"/>
    <x v="695"/>
    <x v="684"/>
    <x v="0"/>
  </r>
  <r>
    <x v="376"/>
    <x v="350"/>
    <x v="2"/>
    <x v="48"/>
    <x v="50"/>
    <x v="458"/>
    <x v="120"/>
    <x v="546"/>
    <x v="696"/>
    <x v="685"/>
    <x v="108"/>
  </r>
  <r>
    <x v="377"/>
    <x v="351"/>
    <x v="23"/>
    <x v="49"/>
    <x v="51"/>
    <x v="0"/>
    <x v="0"/>
    <x v="0"/>
    <x v="697"/>
    <x v="686"/>
    <x v="0"/>
  </r>
  <r>
    <x v="377"/>
    <x v="351"/>
    <x v="3"/>
    <x v="48"/>
    <x v="50"/>
    <x v="459"/>
    <x v="120"/>
    <x v="547"/>
    <x v="698"/>
    <x v="589"/>
    <x v="0"/>
  </r>
  <r>
    <x v="378"/>
    <x v="352"/>
    <x v="24"/>
    <x v="49"/>
    <x v="51"/>
    <x v="0"/>
    <x v="121"/>
    <x v="0"/>
    <x v="699"/>
    <x v="687"/>
    <x v="0"/>
  </r>
  <r>
    <x v="378"/>
    <x v="352"/>
    <x v="2"/>
    <x v="51"/>
    <x v="53"/>
    <x v="55"/>
    <x v="34"/>
    <x v="548"/>
    <x v="700"/>
    <x v="688"/>
    <x v="109"/>
  </r>
  <r>
    <x v="379"/>
    <x v="353"/>
    <x v="3"/>
    <x v="51"/>
    <x v="53"/>
    <x v="17"/>
    <x v="34"/>
    <x v="549"/>
    <x v="701"/>
    <x v="689"/>
    <x v="107"/>
  </r>
  <r>
    <x v="379"/>
    <x v="353"/>
    <x v="2"/>
    <x v="51"/>
    <x v="53"/>
    <x v="231"/>
    <x v="34"/>
    <x v="550"/>
    <x v="702"/>
    <x v="690"/>
    <x v="109"/>
  </r>
  <r>
    <x v="379"/>
    <x v="353"/>
    <x v="3"/>
    <x v="51"/>
    <x v="53"/>
    <x v="460"/>
    <x v="34"/>
    <x v="551"/>
    <x v="703"/>
    <x v="691"/>
    <x v="107"/>
  </r>
  <r>
    <x v="379"/>
    <x v="353"/>
    <x v="2"/>
    <x v="51"/>
    <x v="53"/>
    <x v="304"/>
    <x v="76"/>
    <x v="552"/>
    <x v="704"/>
    <x v="692"/>
    <x v="110"/>
  </r>
  <r>
    <x v="380"/>
    <x v="354"/>
    <x v="6"/>
    <x v="43"/>
    <x v="44"/>
    <x v="0"/>
    <x v="0"/>
    <x v="553"/>
    <x v="705"/>
    <x v="693"/>
    <x v="0"/>
  </r>
  <r>
    <x v="381"/>
    <x v="355"/>
    <x v="1"/>
    <x v="1"/>
    <x v="1"/>
    <x v="0"/>
    <x v="0"/>
    <x v="0"/>
    <x v="706"/>
    <x v="694"/>
    <x v="0"/>
  </r>
  <r>
    <x v="381"/>
    <x v="355"/>
    <x v="23"/>
    <x v="49"/>
    <x v="51"/>
    <x v="0"/>
    <x v="0"/>
    <x v="0"/>
    <x v="707"/>
    <x v="695"/>
    <x v="0"/>
  </r>
  <r>
    <x v="381"/>
    <x v="355"/>
    <x v="2"/>
    <x v="22"/>
    <x v="22"/>
    <x v="461"/>
    <x v="67"/>
    <x v="554"/>
    <x v="708"/>
    <x v="589"/>
    <x v="75"/>
  </r>
  <r>
    <x v="382"/>
    <x v="356"/>
    <x v="23"/>
    <x v="49"/>
    <x v="51"/>
    <x v="0"/>
    <x v="0"/>
    <x v="0"/>
    <x v="709"/>
    <x v="696"/>
    <x v="0"/>
  </r>
  <r>
    <x v="382"/>
    <x v="356"/>
    <x v="2"/>
    <x v="22"/>
    <x v="22"/>
    <x v="462"/>
    <x v="122"/>
    <x v="555"/>
    <x v="710"/>
    <x v="697"/>
    <x v="111"/>
  </r>
  <r>
    <x v="382"/>
    <x v="356"/>
    <x v="3"/>
    <x v="22"/>
    <x v="22"/>
    <x v="228"/>
    <x v="67"/>
    <x v="556"/>
    <x v="711"/>
    <x v="589"/>
    <x v="112"/>
  </r>
  <r>
    <x v="383"/>
    <x v="357"/>
    <x v="5"/>
    <x v="1"/>
    <x v="1"/>
    <x v="0"/>
    <x v="0"/>
    <x v="0"/>
    <x v="712"/>
    <x v="698"/>
    <x v="0"/>
  </r>
  <r>
    <x v="383"/>
    <x v="357"/>
    <x v="23"/>
    <x v="49"/>
    <x v="51"/>
    <x v="0"/>
    <x v="0"/>
    <x v="0"/>
    <x v="713"/>
    <x v="699"/>
    <x v="0"/>
  </r>
  <r>
    <x v="383"/>
    <x v="357"/>
    <x v="3"/>
    <x v="22"/>
    <x v="22"/>
    <x v="463"/>
    <x v="122"/>
    <x v="557"/>
    <x v="714"/>
    <x v="698"/>
    <x v="0"/>
  </r>
  <r>
    <x v="384"/>
    <x v="97"/>
    <x v="25"/>
    <x v="49"/>
    <x v="51"/>
    <x v="0"/>
    <x v="0"/>
    <x v="558"/>
    <x v="715"/>
    <x v="700"/>
    <x v="0"/>
  </r>
  <r>
    <x v="385"/>
    <x v="358"/>
    <x v="24"/>
    <x v="49"/>
    <x v="51"/>
    <x v="0"/>
    <x v="123"/>
    <x v="0"/>
    <x v="716"/>
    <x v="701"/>
    <x v="0"/>
  </r>
  <r>
    <x v="385"/>
    <x v="358"/>
    <x v="2"/>
    <x v="22"/>
    <x v="22"/>
    <x v="464"/>
    <x v="67"/>
    <x v="559"/>
    <x v="717"/>
    <x v="589"/>
    <x v="75"/>
  </r>
  <r>
    <x v="386"/>
    <x v="359"/>
    <x v="23"/>
    <x v="49"/>
    <x v="51"/>
    <x v="0"/>
    <x v="0"/>
    <x v="0"/>
    <x v="718"/>
    <x v="702"/>
    <x v="0"/>
  </r>
  <r>
    <x v="386"/>
    <x v="359"/>
    <x v="3"/>
    <x v="22"/>
    <x v="22"/>
    <x v="465"/>
    <x v="67"/>
    <x v="560"/>
    <x v="719"/>
    <x v="589"/>
    <x v="0"/>
  </r>
  <r>
    <x v="387"/>
    <x v="360"/>
    <x v="24"/>
    <x v="49"/>
    <x v="51"/>
    <x v="0"/>
    <x v="124"/>
    <x v="0"/>
    <x v="720"/>
    <x v="703"/>
    <x v="0"/>
  </r>
  <r>
    <x v="387"/>
    <x v="360"/>
    <x v="2"/>
    <x v="51"/>
    <x v="53"/>
    <x v="466"/>
    <x v="65"/>
    <x v="561"/>
    <x v="721"/>
    <x v="704"/>
    <x v="113"/>
  </r>
  <r>
    <x v="388"/>
    <x v="361"/>
    <x v="6"/>
    <x v="24"/>
    <x v="24"/>
    <x v="0"/>
    <x v="125"/>
    <x v="562"/>
    <x v="722"/>
    <x v="705"/>
    <x v="0"/>
  </r>
  <r>
    <x v="389"/>
    <x v="362"/>
    <x v="23"/>
    <x v="49"/>
    <x v="51"/>
    <x v="0"/>
    <x v="0"/>
    <x v="0"/>
    <x v="723"/>
    <x v="0"/>
    <x v="0"/>
  </r>
  <r>
    <x v="390"/>
    <x v="363"/>
    <x v="23"/>
    <x v="49"/>
    <x v="51"/>
    <x v="0"/>
    <x v="0"/>
    <x v="0"/>
    <x v="724"/>
    <x v="706"/>
    <x v="0"/>
  </r>
  <r>
    <x v="390"/>
    <x v="363"/>
    <x v="6"/>
    <x v="51"/>
    <x v="53"/>
    <x v="0"/>
    <x v="0"/>
    <x v="563"/>
    <x v="725"/>
    <x v="707"/>
    <x v="0"/>
  </r>
  <r>
    <x v="390"/>
    <x v="363"/>
    <x v="3"/>
    <x v="51"/>
    <x v="53"/>
    <x v="383"/>
    <x v="65"/>
    <x v="564"/>
    <x v="726"/>
    <x v="708"/>
    <x v="110"/>
  </r>
  <r>
    <x v="390"/>
    <x v="363"/>
    <x v="2"/>
    <x v="22"/>
    <x v="22"/>
    <x v="467"/>
    <x v="67"/>
    <x v="565"/>
    <x v="727"/>
    <x v="709"/>
    <x v="75"/>
  </r>
  <r>
    <x v="391"/>
    <x v="364"/>
    <x v="24"/>
    <x v="49"/>
    <x v="51"/>
    <x v="0"/>
    <x v="126"/>
    <x v="0"/>
    <x v="728"/>
    <x v="710"/>
    <x v="0"/>
  </r>
  <r>
    <x v="391"/>
    <x v="364"/>
    <x v="2"/>
    <x v="56"/>
    <x v="58"/>
    <x v="468"/>
    <x v="67"/>
    <x v="566"/>
    <x v="729"/>
    <x v="589"/>
    <x v="75"/>
  </r>
  <r>
    <x v="392"/>
    <x v="365"/>
    <x v="3"/>
    <x v="22"/>
    <x v="22"/>
    <x v="469"/>
    <x v="67"/>
    <x v="567"/>
    <x v="730"/>
    <x v="711"/>
    <x v="0"/>
  </r>
  <r>
    <x v="392"/>
    <x v="365"/>
    <x v="2"/>
    <x v="22"/>
    <x v="22"/>
    <x v="470"/>
    <x v="67"/>
    <x v="434"/>
    <x v="731"/>
    <x v="712"/>
    <x v="75"/>
  </r>
  <r>
    <x v="393"/>
    <x v="366"/>
    <x v="23"/>
    <x v="49"/>
    <x v="51"/>
    <x v="0"/>
    <x v="0"/>
    <x v="0"/>
    <x v="732"/>
    <x v="713"/>
    <x v="0"/>
  </r>
  <r>
    <x v="393"/>
    <x v="366"/>
    <x v="3"/>
    <x v="56"/>
    <x v="58"/>
    <x v="471"/>
    <x v="67"/>
    <x v="568"/>
    <x v="733"/>
    <x v="714"/>
    <x v="0"/>
  </r>
  <r>
    <x v="393"/>
    <x v="366"/>
    <x v="3"/>
    <x v="22"/>
    <x v="22"/>
    <x v="472"/>
    <x v="67"/>
    <x v="569"/>
    <x v="734"/>
    <x v="589"/>
    <x v="0"/>
  </r>
  <r>
    <x v="394"/>
    <x v="367"/>
    <x v="24"/>
    <x v="49"/>
    <x v="51"/>
    <x v="0"/>
    <x v="127"/>
    <x v="0"/>
    <x v="735"/>
    <x v="715"/>
    <x v="0"/>
  </r>
  <r>
    <x v="394"/>
    <x v="367"/>
    <x v="2"/>
    <x v="22"/>
    <x v="22"/>
    <x v="473"/>
    <x v="67"/>
    <x v="570"/>
    <x v="736"/>
    <x v="589"/>
    <x v="75"/>
  </r>
  <r>
    <x v="395"/>
    <x v="368"/>
    <x v="24"/>
    <x v="49"/>
    <x v="51"/>
    <x v="0"/>
    <x v="128"/>
    <x v="0"/>
    <x v="737"/>
    <x v="716"/>
    <x v="0"/>
  </r>
  <r>
    <x v="395"/>
    <x v="368"/>
    <x v="2"/>
    <x v="48"/>
    <x v="50"/>
    <x v="474"/>
    <x v="129"/>
    <x v="571"/>
    <x v="738"/>
    <x v="717"/>
    <x v="114"/>
  </r>
  <r>
    <x v="396"/>
    <x v="369"/>
    <x v="23"/>
    <x v="49"/>
    <x v="51"/>
    <x v="0"/>
    <x v="0"/>
    <x v="0"/>
    <x v="739"/>
    <x v="718"/>
    <x v="0"/>
  </r>
  <r>
    <x v="396"/>
    <x v="369"/>
    <x v="3"/>
    <x v="48"/>
    <x v="50"/>
    <x v="475"/>
    <x v="129"/>
    <x v="572"/>
    <x v="740"/>
    <x v="589"/>
    <x v="0"/>
  </r>
  <r>
    <x v="397"/>
    <x v="370"/>
    <x v="23"/>
    <x v="49"/>
    <x v="51"/>
    <x v="0"/>
    <x v="0"/>
    <x v="0"/>
    <x v="741"/>
    <x v="719"/>
    <x v="0"/>
  </r>
  <r>
    <x v="397"/>
    <x v="370"/>
    <x v="3"/>
    <x v="22"/>
    <x v="22"/>
    <x v="476"/>
    <x v="67"/>
    <x v="573"/>
    <x v="742"/>
    <x v="589"/>
    <x v="0"/>
  </r>
  <r>
    <x v="398"/>
    <x v="371"/>
    <x v="24"/>
    <x v="49"/>
    <x v="51"/>
    <x v="0"/>
    <x v="130"/>
    <x v="0"/>
    <x v="743"/>
    <x v="720"/>
    <x v="0"/>
  </r>
  <r>
    <x v="398"/>
    <x v="371"/>
    <x v="2"/>
    <x v="22"/>
    <x v="22"/>
    <x v="477"/>
    <x v="67"/>
    <x v="574"/>
    <x v="744"/>
    <x v="589"/>
    <x v="75"/>
  </r>
  <r>
    <x v="399"/>
    <x v="372"/>
    <x v="3"/>
    <x v="22"/>
    <x v="22"/>
    <x v="478"/>
    <x v="67"/>
    <x v="575"/>
    <x v="745"/>
    <x v="721"/>
    <x v="0"/>
  </r>
  <r>
    <x v="399"/>
    <x v="372"/>
    <x v="2"/>
    <x v="43"/>
    <x v="44"/>
    <x v="479"/>
    <x v="65"/>
    <x v="576"/>
    <x v="746"/>
    <x v="722"/>
    <x v="74"/>
  </r>
  <r>
    <x v="399"/>
    <x v="372"/>
    <x v="3"/>
    <x v="43"/>
    <x v="44"/>
    <x v="480"/>
    <x v="65"/>
    <x v="577"/>
    <x v="747"/>
    <x v="723"/>
    <x v="34"/>
  </r>
  <r>
    <x v="399"/>
    <x v="372"/>
    <x v="2"/>
    <x v="22"/>
    <x v="22"/>
    <x v="481"/>
    <x v="67"/>
    <x v="578"/>
    <x v="748"/>
    <x v="724"/>
    <x v="75"/>
  </r>
  <r>
    <x v="400"/>
    <x v="373"/>
    <x v="23"/>
    <x v="49"/>
    <x v="51"/>
    <x v="0"/>
    <x v="0"/>
    <x v="0"/>
    <x v="749"/>
    <x v="725"/>
    <x v="0"/>
  </r>
  <r>
    <x v="400"/>
    <x v="373"/>
    <x v="3"/>
    <x v="22"/>
    <x v="22"/>
    <x v="482"/>
    <x v="67"/>
    <x v="579"/>
    <x v="750"/>
    <x v="726"/>
    <x v="0"/>
  </r>
  <r>
    <x v="400"/>
    <x v="373"/>
    <x v="3"/>
    <x v="24"/>
    <x v="24"/>
    <x v="20"/>
    <x v="30"/>
    <x v="580"/>
    <x v="751"/>
    <x v="727"/>
    <x v="115"/>
  </r>
  <r>
    <x v="400"/>
    <x v="373"/>
    <x v="2"/>
    <x v="24"/>
    <x v="24"/>
    <x v="483"/>
    <x v="30"/>
    <x v="581"/>
    <x v="752"/>
    <x v="728"/>
    <x v="93"/>
  </r>
  <r>
    <x v="400"/>
    <x v="373"/>
    <x v="3"/>
    <x v="24"/>
    <x v="24"/>
    <x v="484"/>
    <x v="30"/>
    <x v="582"/>
    <x v="753"/>
    <x v="729"/>
    <x v="115"/>
  </r>
  <r>
    <x v="400"/>
    <x v="373"/>
    <x v="2"/>
    <x v="22"/>
    <x v="22"/>
    <x v="207"/>
    <x v="31"/>
    <x v="239"/>
    <x v="299"/>
    <x v="730"/>
    <x v="35"/>
  </r>
  <r>
    <x v="401"/>
    <x v="374"/>
    <x v="24"/>
    <x v="49"/>
    <x v="51"/>
    <x v="0"/>
    <x v="131"/>
    <x v="0"/>
    <x v="754"/>
    <x v="731"/>
    <x v="0"/>
  </r>
  <r>
    <x v="401"/>
    <x v="374"/>
    <x v="3"/>
    <x v="22"/>
    <x v="22"/>
    <x v="485"/>
    <x v="31"/>
    <x v="583"/>
    <x v="755"/>
    <x v="732"/>
    <x v="0"/>
  </r>
  <r>
    <x v="401"/>
    <x v="374"/>
    <x v="2"/>
    <x v="56"/>
    <x v="58"/>
    <x v="486"/>
    <x v="31"/>
    <x v="584"/>
    <x v="756"/>
    <x v="733"/>
    <x v="35"/>
  </r>
  <r>
    <x v="401"/>
    <x v="374"/>
    <x v="2"/>
    <x v="57"/>
    <x v="59"/>
    <x v="487"/>
    <x v="3"/>
    <x v="403"/>
    <x v="757"/>
    <x v="589"/>
    <x v="3"/>
  </r>
  <r>
    <x v="402"/>
    <x v="375"/>
    <x v="23"/>
    <x v="49"/>
    <x v="51"/>
    <x v="0"/>
    <x v="0"/>
    <x v="0"/>
    <x v="758"/>
    <x v="734"/>
    <x v="0"/>
  </r>
  <r>
    <x v="402"/>
    <x v="375"/>
    <x v="3"/>
    <x v="24"/>
    <x v="24"/>
    <x v="488"/>
    <x v="65"/>
    <x v="585"/>
    <x v="759"/>
    <x v="589"/>
    <x v="116"/>
  </r>
  <r>
    <x v="403"/>
    <x v="376"/>
    <x v="24"/>
    <x v="49"/>
    <x v="51"/>
    <x v="0"/>
    <x v="132"/>
    <x v="0"/>
    <x v="760"/>
    <x v="735"/>
    <x v="0"/>
  </r>
  <r>
    <x v="403"/>
    <x v="376"/>
    <x v="2"/>
    <x v="57"/>
    <x v="59"/>
    <x v="489"/>
    <x v="3"/>
    <x v="586"/>
    <x v="761"/>
    <x v="736"/>
    <x v="11"/>
  </r>
  <r>
    <x v="403"/>
    <x v="376"/>
    <x v="2"/>
    <x v="56"/>
    <x v="58"/>
    <x v="490"/>
    <x v="31"/>
    <x v="587"/>
    <x v="762"/>
    <x v="737"/>
    <x v="75"/>
  </r>
  <r>
    <x v="403"/>
    <x v="376"/>
    <x v="2"/>
    <x v="22"/>
    <x v="22"/>
    <x v="491"/>
    <x v="31"/>
    <x v="588"/>
    <x v="763"/>
    <x v="738"/>
    <x v="35"/>
  </r>
  <r>
    <x v="403"/>
    <x v="376"/>
    <x v="3"/>
    <x v="56"/>
    <x v="58"/>
    <x v="492"/>
    <x v="31"/>
    <x v="589"/>
    <x v="764"/>
    <x v="739"/>
    <x v="35"/>
  </r>
  <r>
    <x v="403"/>
    <x v="376"/>
    <x v="3"/>
    <x v="57"/>
    <x v="59"/>
    <x v="493"/>
    <x v="3"/>
    <x v="590"/>
    <x v="765"/>
    <x v="589"/>
    <x v="3"/>
  </r>
  <r>
    <x v="404"/>
    <x v="377"/>
    <x v="24"/>
    <x v="49"/>
    <x v="51"/>
    <x v="0"/>
    <x v="133"/>
    <x v="0"/>
    <x v="766"/>
    <x v="740"/>
    <x v="0"/>
  </r>
  <r>
    <x v="404"/>
    <x v="377"/>
    <x v="2"/>
    <x v="57"/>
    <x v="59"/>
    <x v="494"/>
    <x v="3"/>
    <x v="591"/>
    <x v="767"/>
    <x v="741"/>
    <x v="11"/>
  </r>
  <r>
    <x v="404"/>
    <x v="377"/>
    <x v="2"/>
    <x v="56"/>
    <x v="58"/>
    <x v="495"/>
    <x v="31"/>
    <x v="592"/>
    <x v="768"/>
    <x v="742"/>
    <x v="75"/>
  </r>
  <r>
    <x v="404"/>
    <x v="377"/>
    <x v="3"/>
    <x v="56"/>
    <x v="58"/>
    <x v="496"/>
    <x v="31"/>
    <x v="593"/>
    <x v="769"/>
    <x v="743"/>
    <x v="35"/>
  </r>
  <r>
    <x v="404"/>
    <x v="377"/>
    <x v="2"/>
    <x v="58"/>
    <x v="60"/>
    <x v="497"/>
    <x v="26"/>
    <x v="594"/>
    <x v="770"/>
    <x v="744"/>
    <x v="19"/>
  </r>
  <r>
    <x v="404"/>
    <x v="377"/>
    <x v="3"/>
    <x v="57"/>
    <x v="59"/>
    <x v="498"/>
    <x v="3"/>
    <x v="444"/>
    <x v="771"/>
    <x v="589"/>
    <x v="3"/>
  </r>
  <r>
    <x v="405"/>
    <x v="378"/>
    <x v="23"/>
    <x v="49"/>
    <x v="51"/>
    <x v="0"/>
    <x v="0"/>
    <x v="0"/>
    <x v="772"/>
    <x v="745"/>
    <x v="0"/>
  </r>
  <r>
    <x v="405"/>
    <x v="378"/>
    <x v="2"/>
    <x v="59"/>
    <x v="61"/>
    <x v="499"/>
    <x v="17"/>
    <x v="595"/>
    <x v="773"/>
    <x v="746"/>
    <x v="18"/>
  </r>
  <r>
    <x v="405"/>
    <x v="378"/>
    <x v="3"/>
    <x v="22"/>
    <x v="22"/>
    <x v="500"/>
    <x v="31"/>
    <x v="596"/>
    <x v="774"/>
    <x v="747"/>
    <x v="0"/>
  </r>
  <r>
    <x v="405"/>
    <x v="378"/>
    <x v="2"/>
    <x v="56"/>
    <x v="58"/>
    <x v="501"/>
    <x v="31"/>
    <x v="597"/>
    <x v="775"/>
    <x v="748"/>
    <x v="75"/>
  </r>
  <r>
    <x v="405"/>
    <x v="378"/>
    <x v="3"/>
    <x v="58"/>
    <x v="60"/>
    <x v="502"/>
    <x v="26"/>
    <x v="598"/>
    <x v="776"/>
    <x v="749"/>
    <x v="0"/>
  </r>
  <r>
    <x v="405"/>
    <x v="378"/>
    <x v="3"/>
    <x v="57"/>
    <x v="59"/>
    <x v="503"/>
    <x v="3"/>
    <x v="599"/>
    <x v="777"/>
    <x v="750"/>
    <x v="0"/>
  </r>
  <r>
    <x v="405"/>
    <x v="378"/>
    <x v="3"/>
    <x v="56"/>
    <x v="58"/>
    <x v="504"/>
    <x v="31"/>
    <x v="600"/>
    <x v="778"/>
    <x v="589"/>
    <x v="35"/>
  </r>
  <r>
    <x v="406"/>
    <x v="379"/>
    <x v="23"/>
    <x v="49"/>
    <x v="51"/>
    <x v="0"/>
    <x v="0"/>
    <x v="0"/>
    <x v="779"/>
    <x v="751"/>
    <x v="0"/>
  </r>
  <r>
    <x v="406"/>
    <x v="379"/>
    <x v="2"/>
    <x v="56"/>
    <x v="58"/>
    <x v="505"/>
    <x v="31"/>
    <x v="601"/>
    <x v="780"/>
    <x v="752"/>
    <x v="75"/>
  </r>
  <r>
    <x v="406"/>
    <x v="379"/>
    <x v="2"/>
    <x v="22"/>
    <x v="22"/>
    <x v="491"/>
    <x v="31"/>
    <x v="588"/>
    <x v="763"/>
    <x v="753"/>
    <x v="35"/>
  </r>
  <r>
    <x v="406"/>
    <x v="379"/>
    <x v="3"/>
    <x v="56"/>
    <x v="58"/>
    <x v="506"/>
    <x v="31"/>
    <x v="602"/>
    <x v="781"/>
    <x v="754"/>
    <x v="35"/>
  </r>
  <r>
    <x v="406"/>
    <x v="379"/>
    <x v="3"/>
    <x v="59"/>
    <x v="61"/>
    <x v="507"/>
    <x v="17"/>
    <x v="603"/>
    <x v="782"/>
    <x v="589"/>
    <x v="0"/>
  </r>
  <r>
    <x v="407"/>
    <x v="380"/>
    <x v="24"/>
    <x v="49"/>
    <x v="51"/>
    <x v="0"/>
    <x v="134"/>
    <x v="0"/>
    <x v="783"/>
    <x v="755"/>
    <x v="0"/>
  </r>
  <r>
    <x v="407"/>
    <x v="380"/>
    <x v="3"/>
    <x v="56"/>
    <x v="58"/>
    <x v="501"/>
    <x v="31"/>
    <x v="597"/>
    <x v="784"/>
    <x v="756"/>
    <x v="0"/>
  </r>
  <r>
    <x v="407"/>
    <x v="380"/>
    <x v="3"/>
    <x v="22"/>
    <x v="22"/>
    <x v="186"/>
    <x v="31"/>
    <x v="604"/>
    <x v="785"/>
    <x v="757"/>
    <x v="0"/>
  </r>
  <r>
    <x v="407"/>
    <x v="380"/>
    <x v="2"/>
    <x v="22"/>
    <x v="22"/>
    <x v="173"/>
    <x v="31"/>
    <x v="605"/>
    <x v="786"/>
    <x v="758"/>
    <x v="35"/>
  </r>
  <r>
    <x v="407"/>
    <x v="380"/>
    <x v="2"/>
    <x v="56"/>
    <x v="58"/>
    <x v="508"/>
    <x v="67"/>
    <x v="606"/>
    <x v="787"/>
    <x v="589"/>
    <x v="75"/>
  </r>
  <r>
    <x v="408"/>
    <x v="381"/>
    <x v="24"/>
    <x v="49"/>
    <x v="51"/>
    <x v="0"/>
    <x v="135"/>
    <x v="0"/>
    <x v="788"/>
    <x v="759"/>
    <x v="0"/>
  </r>
  <r>
    <x v="408"/>
    <x v="381"/>
    <x v="2"/>
    <x v="56"/>
    <x v="58"/>
    <x v="509"/>
    <x v="67"/>
    <x v="607"/>
    <x v="789"/>
    <x v="589"/>
    <x v="55"/>
  </r>
  <r>
    <x v="409"/>
    <x v="382"/>
    <x v="23"/>
    <x v="49"/>
    <x v="51"/>
    <x v="0"/>
    <x v="0"/>
    <x v="0"/>
    <x v="790"/>
    <x v="760"/>
    <x v="0"/>
  </r>
  <r>
    <x v="409"/>
    <x v="382"/>
    <x v="3"/>
    <x v="56"/>
    <x v="58"/>
    <x v="510"/>
    <x v="67"/>
    <x v="608"/>
    <x v="791"/>
    <x v="761"/>
    <x v="75"/>
  </r>
  <r>
    <x v="409"/>
    <x v="382"/>
    <x v="2"/>
    <x v="56"/>
    <x v="58"/>
    <x v="511"/>
    <x v="67"/>
    <x v="609"/>
    <x v="792"/>
    <x v="762"/>
    <x v="55"/>
  </r>
  <r>
    <x v="409"/>
    <x v="382"/>
    <x v="3"/>
    <x v="56"/>
    <x v="58"/>
    <x v="512"/>
    <x v="67"/>
    <x v="327"/>
    <x v="793"/>
    <x v="589"/>
    <x v="75"/>
  </r>
  <r>
    <x v="410"/>
    <x v="383"/>
    <x v="24"/>
    <x v="49"/>
    <x v="51"/>
    <x v="0"/>
    <x v="136"/>
    <x v="0"/>
    <x v="794"/>
    <x v="763"/>
    <x v="0"/>
  </r>
  <r>
    <x v="410"/>
    <x v="383"/>
    <x v="2"/>
    <x v="56"/>
    <x v="58"/>
    <x v="511"/>
    <x v="67"/>
    <x v="609"/>
    <x v="792"/>
    <x v="764"/>
    <x v="55"/>
  </r>
  <r>
    <x v="410"/>
    <x v="383"/>
    <x v="2"/>
    <x v="22"/>
    <x v="22"/>
    <x v="236"/>
    <x v="31"/>
    <x v="610"/>
    <x v="795"/>
    <x v="762"/>
    <x v="75"/>
  </r>
  <r>
    <x v="410"/>
    <x v="383"/>
    <x v="3"/>
    <x v="56"/>
    <x v="58"/>
    <x v="512"/>
    <x v="67"/>
    <x v="327"/>
    <x v="793"/>
    <x v="589"/>
    <x v="75"/>
  </r>
  <r>
    <x v="411"/>
    <x v="384"/>
    <x v="24"/>
    <x v="49"/>
    <x v="51"/>
    <x v="0"/>
    <x v="15"/>
    <x v="0"/>
    <x v="796"/>
    <x v="765"/>
    <x v="0"/>
  </r>
  <r>
    <x v="411"/>
    <x v="384"/>
    <x v="2"/>
    <x v="22"/>
    <x v="22"/>
    <x v="513"/>
    <x v="67"/>
    <x v="611"/>
    <x v="797"/>
    <x v="766"/>
    <x v="55"/>
  </r>
  <r>
    <x v="411"/>
    <x v="384"/>
    <x v="3"/>
    <x v="56"/>
    <x v="58"/>
    <x v="514"/>
    <x v="67"/>
    <x v="417"/>
    <x v="798"/>
    <x v="767"/>
    <x v="0"/>
  </r>
  <r>
    <x v="411"/>
    <x v="384"/>
    <x v="3"/>
    <x v="22"/>
    <x v="22"/>
    <x v="515"/>
    <x v="67"/>
    <x v="612"/>
    <x v="799"/>
    <x v="768"/>
    <x v="75"/>
  </r>
  <r>
    <x v="411"/>
    <x v="384"/>
    <x v="2"/>
    <x v="56"/>
    <x v="58"/>
    <x v="516"/>
    <x v="67"/>
    <x v="613"/>
    <x v="800"/>
    <x v="589"/>
    <x v="75"/>
  </r>
  <r>
    <x v="412"/>
    <x v="385"/>
    <x v="24"/>
    <x v="49"/>
    <x v="51"/>
    <x v="0"/>
    <x v="137"/>
    <x v="0"/>
    <x v="801"/>
    <x v="769"/>
    <x v="0"/>
  </r>
  <r>
    <x v="412"/>
    <x v="385"/>
    <x v="2"/>
    <x v="22"/>
    <x v="22"/>
    <x v="234"/>
    <x v="67"/>
    <x v="248"/>
    <x v="802"/>
    <x v="770"/>
    <x v="55"/>
  </r>
  <r>
    <x v="412"/>
    <x v="385"/>
    <x v="2"/>
    <x v="56"/>
    <x v="58"/>
    <x v="517"/>
    <x v="67"/>
    <x v="614"/>
    <x v="790"/>
    <x v="771"/>
    <x v="55"/>
  </r>
  <r>
    <x v="412"/>
    <x v="385"/>
    <x v="3"/>
    <x v="56"/>
    <x v="58"/>
    <x v="518"/>
    <x v="67"/>
    <x v="615"/>
    <x v="803"/>
    <x v="772"/>
    <x v="75"/>
  </r>
  <r>
    <x v="412"/>
    <x v="385"/>
    <x v="2"/>
    <x v="56"/>
    <x v="58"/>
    <x v="518"/>
    <x v="67"/>
    <x v="615"/>
    <x v="804"/>
    <x v="589"/>
    <x v="55"/>
  </r>
  <r>
    <x v="413"/>
    <x v="386"/>
    <x v="23"/>
    <x v="49"/>
    <x v="51"/>
    <x v="0"/>
    <x v="0"/>
    <x v="0"/>
    <x v="805"/>
    <x v="773"/>
    <x v="0"/>
  </r>
  <r>
    <x v="413"/>
    <x v="386"/>
    <x v="3"/>
    <x v="56"/>
    <x v="58"/>
    <x v="519"/>
    <x v="49"/>
    <x v="523"/>
    <x v="806"/>
    <x v="774"/>
    <x v="0"/>
  </r>
  <r>
    <x v="413"/>
    <x v="386"/>
    <x v="3"/>
    <x v="22"/>
    <x v="22"/>
    <x v="520"/>
    <x v="49"/>
    <x v="616"/>
    <x v="807"/>
    <x v="775"/>
    <x v="0"/>
  </r>
  <r>
    <x v="413"/>
    <x v="386"/>
    <x v="2"/>
    <x v="22"/>
    <x v="22"/>
    <x v="224"/>
    <x v="67"/>
    <x v="617"/>
    <x v="808"/>
    <x v="589"/>
    <x v="75"/>
  </r>
  <r>
    <x v="414"/>
    <x v="387"/>
    <x v="24"/>
    <x v="49"/>
    <x v="51"/>
    <x v="0"/>
    <x v="138"/>
    <x v="0"/>
    <x v="809"/>
    <x v="776"/>
    <x v="0"/>
  </r>
  <r>
    <x v="414"/>
    <x v="387"/>
    <x v="2"/>
    <x v="24"/>
    <x v="24"/>
    <x v="483"/>
    <x v="65"/>
    <x v="618"/>
    <x v="810"/>
    <x v="589"/>
    <x v="115"/>
  </r>
  <r>
    <x v="415"/>
    <x v="388"/>
    <x v="24"/>
    <x v="49"/>
    <x v="51"/>
    <x v="0"/>
    <x v="139"/>
    <x v="0"/>
    <x v="811"/>
    <x v="777"/>
    <x v="0"/>
  </r>
  <r>
    <x v="415"/>
    <x v="388"/>
    <x v="2"/>
    <x v="56"/>
    <x v="58"/>
    <x v="521"/>
    <x v="67"/>
    <x v="493"/>
    <x v="591"/>
    <x v="778"/>
    <x v="75"/>
  </r>
  <r>
    <x v="415"/>
    <x v="388"/>
    <x v="2"/>
    <x v="51"/>
    <x v="53"/>
    <x v="55"/>
    <x v="19"/>
    <x v="619"/>
    <x v="812"/>
    <x v="779"/>
    <x v="117"/>
  </r>
  <r>
    <x v="416"/>
    <x v="97"/>
    <x v="9"/>
    <x v="24"/>
    <x v="24"/>
    <x v="0"/>
    <x v="0"/>
    <x v="0"/>
    <x v="813"/>
    <x v="780"/>
    <x v="0"/>
  </r>
  <r>
    <x v="416"/>
    <x v="97"/>
    <x v="9"/>
    <x v="24"/>
    <x v="24"/>
    <x v="0"/>
    <x v="0"/>
    <x v="0"/>
    <x v="814"/>
    <x v="781"/>
    <x v="0"/>
  </r>
  <r>
    <x v="416"/>
    <x v="97"/>
    <x v="9"/>
    <x v="24"/>
    <x v="24"/>
    <x v="0"/>
    <x v="0"/>
    <x v="0"/>
    <x v="815"/>
    <x v="782"/>
    <x v="0"/>
  </r>
  <r>
    <x v="417"/>
    <x v="389"/>
    <x v="23"/>
    <x v="49"/>
    <x v="51"/>
    <x v="0"/>
    <x v="0"/>
    <x v="0"/>
    <x v="816"/>
    <x v="783"/>
    <x v="0"/>
  </r>
  <r>
    <x v="417"/>
    <x v="389"/>
    <x v="3"/>
    <x v="56"/>
    <x v="58"/>
    <x v="522"/>
    <x v="67"/>
    <x v="620"/>
    <x v="817"/>
    <x v="784"/>
    <x v="0"/>
  </r>
  <r>
    <x v="417"/>
    <x v="389"/>
    <x v="3"/>
    <x v="24"/>
    <x v="24"/>
    <x v="523"/>
    <x v="65"/>
    <x v="621"/>
    <x v="818"/>
    <x v="785"/>
    <x v="116"/>
  </r>
  <r>
    <x v="417"/>
    <x v="389"/>
    <x v="2"/>
    <x v="56"/>
    <x v="58"/>
    <x v="524"/>
    <x v="67"/>
    <x v="369"/>
    <x v="819"/>
    <x v="730"/>
    <x v="75"/>
  </r>
  <r>
    <x v="418"/>
    <x v="390"/>
    <x v="23"/>
    <x v="49"/>
    <x v="51"/>
    <x v="0"/>
    <x v="0"/>
    <x v="0"/>
    <x v="820"/>
    <x v="786"/>
    <x v="0"/>
  </r>
  <r>
    <x v="418"/>
    <x v="390"/>
    <x v="3"/>
    <x v="56"/>
    <x v="58"/>
    <x v="525"/>
    <x v="67"/>
    <x v="622"/>
    <x v="821"/>
    <x v="589"/>
    <x v="0"/>
  </r>
  <r>
    <x v="419"/>
    <x v="391"/>
    <x v="3"/>
    <x v="22"/>
    <x v="22"/>
    <x v="118"/>
    <x v="67"/>
    <x v="623"/>
    <x v="822"/>
    <x v="787"/>
    <x v="0"/>
  </r>
  <r>
    <x v="419"/>
    <x v="391"/>
    <x v="2"/>
    <x v="22"/>
    <x v="22"/>
    <x v="526"/>
    <x v="67"/>
    <x v="521"/>
    <x v="823"/>
    <x v="788"/>
    <x v="75"/>
  </r>
  <r>
    <x v="420"/>
    <x v="97"/>
    <x v="9"/>
    <x v="24"/>
    <x v="24"/>
    <x v="0"/>
    <x v="0"/>
    <x v="0"/>
    <x v="824"/>
    <x v="789"/>
    <x v="0"/>
  </r>
  <r>
    <x v="420"/>
    <x v="97"/>
    <x v="9"/>
    <x v="24"/>
    <x v="24"/>
    <x v="0"/>
    <x v="0"/>
    <x v="0"/>
    <x v="825"/>
    <x v="790"/>
    <x v="0"/>
  </r>
  <r>
    <x v="421"/>
    <x v="392"/>
    <x v="24"/>
    <x v="49"/>
    <x v="51"/>
    <x v="0"/>
    <x v="140"/>
    <x v="0"/>
    <x v="826"/>
    <x v="791"/>
    <x v="0"/>
  </r>
  <r>
    <x v="421"/>
    <x v="392"/>
    <x v="2"/>
    <x v="56"/>
    <x v="58"/>
    <x v="527"/>
    <x v="67"/>
    <x v="624"/>
    <x v="827"/>
    <x v="589"/>
    <x v="75"/>
  </r>
  <r>
    <x v="422"/>
    <x v="393"/>
    <x v="23"/>
    <x v="49"/>
    <x v="51"/>
    <x v="0"/>
    <x v="0"/>
    <x v="0"/>
    <x v="828"/>
    <x v="792"/>
    <x v="0"/>
  </r>
  <r>
    <x v="422"/>
    <x v="393"/>
    <x v="3"/>
    <x v="56"/>
    <x v="58"/>
    <x v="528"/>
    <x v="67"/>
    <x v="625"/>
    <x v="829"/>
    <x v="589"/>
    <x v="0"/>
  </r>
  <r>
    <x v="423"/>
    <x v="394"/>
    <x v="23"/>
    <x v="49"/>
    <x v="51"/>
    <x v="0"/>
    <x v="0"/>
    <x v="0"/>
    <x v="830"/>
    <x v="793"/>
    <x v="0"/>
  </r>
  <r>
    <x v="423"/>
    <x v="394"/>
    <x v="3"/>
    <x v="51"/>
    <x v="53"/>
    <x v="529"/>
    <x v="19"/>
    <x v="626"/>
    <x v="831"/>
    <x v="589"/>
    <x v="110"/>
  </r>
  <r>
    <x v="424"/>
    <x v="395"/>
    <x v="24"/>
    <x v="49"/>
    <x v="51"/>
    <x v="0"/>
    <x v="141"/>
    <x v="0"/>
    <x v="832"/>
    <x v="794"/>
    <x v="0"/>
  </r>
  <r>
    <x v="424"/>
    <x v="395"/>
    <x v="2"/>
    <x v="22"/>
    <x v="22"/>
    <x v="236"/>
    <x v="67"/>
    <x v="627"/>
    <x v="833"/>
    <x v="589"/>
    <x v="55"/>
  </r>
  <r>
    <x v="425"/>
    <x v="396"/>
    <x v="3"/>
    <x v="22"/>
    <x v="22"/>
    <x v="118"/>
    <x v="67"/>
    <x v="623"/>
    <x v="822"/>
    <x v="787"/>
    <x v="75"/>
  </r>
  <r>
    <x v="425"/>
    <x v="396"/>
    <x v="2"/>
    <x v="22"/>
    <x v="22"/>
    <x v="530"/>
    <x v="67"/>
    <x v="398"/>
    <x v="834"/>
    <x v="795"/>
    <x v="55"/>
  </r>
  <r>
    <x v="426"/>
    <x v="97"/>
    <x v="9"/>
    <x v="51"/>
    <x v="53"/>
    <x v="0"/>
    <x v="0"/>
    <x v="0"/>
    <x v="835"/>
    <x v="796"/>
    <x v="0"/>
  </r>
  <r>
    <x v="426"/>
    <x v="397"/>
    <x v="5"/>
    <x v="1"/>
    <x v="1"/>
    <x v="0"/>
    <x v="0"/>
    <x v="0"/>
    <x v="836"/>
    <x v="797"/>
    <x v="0"/>
  </r>
  <r>
    <x v="426"/>
    <x v="397"/>
    <x v="23"/>
    <x v="49"/>
    <x v="51"/>
    <x v="0"/>
    <x v="0"/>
    <x v="0"/>
    <x v="837"/>
    <x v="798"/>
    <x v="0"/>
  </r>
  <r>
    <x v="426"/>
    <x v="397"/>
    <x v="3"/>
    <x v="22"/>
    <x v="22"/>
    <x v="531"/>
    <x v="49"/>
    <x v="628"/>
    <x v="838"/>
    <x v="799"/>
    <x v="0"/>
  </r>
  <r>
    <x v="426"/>
    <x v="397"/>
    <x v="2"/>
    <x v="56"/>
    <x v="58"/>
    <x v="532"/>
    <x v="67"/>
    <x v="629"/>
    <x v="839"/>
    <x v="800"/>
    <x v="75"/>
  </r>
  <r>
    <x v="427"/>
    <x v="97"/>
    <x v="25"/>
    <x v="49"/>
    <x v="51"/>
    <x v="0"/>
    <x v="0"/>
    <x v="630"/>
    <x v="840"/>
    <x v="801"/>
    <x v="0"/>
  </r>
  <r>
    <x v="427"/>
    <x v="398"/>
    <x v="23"/>
    <x v="49"/>
    <x v="51"/>
    <x v="0"/>
    <x v="0"/>
    <x v="0"/>
    <x v="841"/>
    <x v="802"/>
    <x v="0"/>
  </r>
  <r>
    <x v="427"/>
    <x v="398"/>
    <x v="3"/>
    <x v="56"/>
    <x v="58"/>
    <x v="533"/>
    <x v="67"/>
    <x v="631"/>
    <x v="842"/>
    <x v="803"/>
    <x v="0"/>
  </r>
  <r>
    <x v="428"/>
    <x v="399"/>
    <x v="24"/>
    <x v="49"/>
    <x v="51"/>
    <x v="0"/>
    <x v="142"/>
    <x v="0"/>
    <x v="843"/>
    <x v="804"/>
    <x v="0"/>
  </r>
  <r>
    <x v="428"/>
    <x v="399"/>
    <x v="2"/>
    <x v="51"/>
    <x v="53"/>
    <x v="17"/>
    <x v="19"/>
    <x v="632"/>
    <x v="844"/>
    <x v="589"/>
    <x v="117"/>
  </r>
  <r>
    <x v="429"/>
    <x v="400"/>
    <x v="24"/>
    <x v="49"/>
    <x v="51"/>
    <x v="0"/>
    <x v="143"/>
    <x v="0"/>
    <x v="845"/>
    <x v="805"/>
    <x v="0"/>
  </r>
  <r>
    <x v="429"/>
    <x v="400"/>
    <x v="2"/>
    <x v="56"/>
    <x v="58"/>
    <x v="534"/>
    <x v="67"/>
    <x v="465"/>
    <x v="846"/>
    <x v="589"/>
    <x v="75"/>
  </r>
  <r>
    <x v="430"/>
    <x v="401"/>
    <x v="23"/>
    <x v="49"/>
    <x v="51"/>
    <x v="0"/>
    <x v="0"/>
    <x v="0"/>
    <x v="847"/>
    <x v="806"/>
    <x v="0"/>
  </r>
  <r>
    <x v="430"/>
    <x v="401"/>
    <x v="3"/>
    <x v="56"/>
    <x v="58"/>
    <x v="535"/>
    <x v="67"/>
    <x v="633"/>
    <x v="848"/>
    <x v="589"/>
    <x v="0"/>
  </r>
  <r>
    <x v="431"/>
    <x v="402"/>
    <x v="24"/>
    <x v="49"/>
    <x v="51"/>
    <x v="0"/>
    <x v="144"/>
    <x v="0"/>
    <x v="849"/>
    <x v="540"/>
    <x v="0"/>
  </r>
  <r>
    <x v="431"/>
    <x v="400"/>
    <x v="26"/>
    <x v="60"/>
    <x v="62"/>
    <x v="536"/>
    <x v="6"/>
    <x v="20"/>
    <x v="39"/>
    <x v="0"/>
    <x v="0"/>
  </r>
  <r>
    <x v="432"/>
    <x v="403"/>
    <x v="24"/>
    <x v="49"/>
    <x v="51"/>
    <x v="0"/>
    <x v="145"/>
    <x v="0"/>
    <x v="850"/>
    <x v="807"/>
    <x v="0"/>
  </r>
  <r>
    <x v="432"/>
    <x v="400"/>
    <x v="27"/>
    <x v="60"/>
    <x v="62"/>
    <x v="536"/>
    <x v="6"/>
    <x v="20"/>
    <x v="0"/>
    <x v="807"/>
    <x v="118"/>
  </r>
  <r>
    <x v="432"/>
    <x v="403"/>
    <x v="7"/>
    <x v="53"/>
    <x v="55"/>
    <x v="537"/>
    <x v="146"/>
    <x v="634"/>
    <x v="851"/>
    <x v="808"/>
    <x v="0"/>
  </r>
  <r>
    <x v="433"/>
    <x v="404"/>
    <x v="23"/>
    <x v="49"/>
    <x v="51"/>
    <x v="0"/>
    <x v="0"/>
    <x v="0"/>
    <x v="852"/>
    <x v="809"/>
    <x v="0"/>
  </r>
  <r>
    <x v="433"/>
    <x v="403"/>
    <x v="8"/>
    <x v="53"/>
    <x v="55"/>
    <x v="537"/>
    <x v="146"/>
    <x v="635"/>
    <x v="853"/>
    <x v="0"/>
    <x v="0"/>
  </r>
  <r>
    <x v="434"/>
    <x v="405"/>
    <x v="24"/>
    <x v="49"/>
    <x v="51"/>
    <x v="0"/>
    <x v="147"/>
    <x v="0"/>
    <x v="854"/>
    <x v="810"/>
    <x v="0"/>
  </r>
  <r>
    <x v="434"/>
    <x v="400"/>
    <x v="28"/>
    <x v="61"/>
    <x v="63"/>
    <x v="0"/>
    <x v="6"/>
    <x v="0"/>
    <x v="0"/>
    <x v="810"/>
    <x v="118"/>
  </r>
  <r>
    <x v="434"/>
    <x v="405"/>
    <x v="7"/>
    <x v="53"/>
    <x v="55"/>
    <x v="538"/>
    <x v="146"/>
    <x v="634"/>
    <x v="851"/>
    <x v="811"/>
    <x v="0"/>
  </r>
  <r>
    <x v="435"/>
    <x v="406"/>
    <x v="23"/>
    <x v="49"/>
    <x v="51"/>
    <x v="0"/>
    <x v="0"/>
    <x v="0"/>
    <x v="855"/>
    <x v="812"/>
    <x v="0"/>
  </r>
  <r>
    <x v="435"/>
    <x v="405"/>
    <x v="8"/>
    <x v="53"/>
    <x v="55"/>
    <x v="538"/>
    <x v="146"/>
    <x v="636"/>
    <x v="856"/>
    <x v="0"/>
    <x v="0"/>
  </r>
  <r>
    <x v="436"/>
    <x v="407"/>
    <x v="24"/>
    <x v="49"/>
    <x v="51"/>
    <x v="0"/>
    <x v="148"/>
    <x v="0"/>
    <x v="857"/>
    <x v="813"/>
    <x v="0"/>
  </r>
  <r>
    <x v="436"/>
    <x v="407"/>
    <x v="2"/>
    <x v="22"/>
    <x v="22"/>
    <x v="539"/>
    <x v="67"/>
    <x v="637"/>
    <x v="858"/>
    <x v="589"/>
    <x v="75"/>
  </r>
  <r>
    <x v="437"/>
    <x v="408"/>
    <x v="23"/>
    <x v="49"/>
    <x v="51"/>
    <x v="0"/>
    <x v="0"/>
    <x v="0"/>
    <x v="859"/>
    <x v="814"/>
    <x v="0"/>
  </r>
  <r>
    <x v="437"/>
    <x v="408"/>
    <x v="3"/>
    <x v="22"/>
    <x v="22"/>
    <x v="540"/>
    <x v="67"/>
    <x v="638"/>
    <x v="860"/>
    <x v="815"/>
    <x v="0"/>
  </r>
  <r>
    <x v="437"/>
    <x v="408"/>
    <x v="2"/>
    <x v="56"/>
    <x v="58"/>
    <x v="541"/>
    <x v="67"/>
    <x v="639"/>
    <x v="861"/>
    <x v="589"/>
    <x v="75"/>
  </r>
  <r>
    <x v="438"/>
    <x v="409"/>
    <x v="23"/>
    <x v="49"/>
    <x v="51"/>
    <x v="0"/>
    <x v="0"/>
    <x v="0"/>
    <x v="862"/>
    <x v="816"/>
    <x v="0"/>
  </r>
  <r>
    <x v="438"/>
    <x v="409"/>
    <x v="3"/>
    <x v="24"/>
    <x v="24"/>
    <x v="542"/>
    <x v="149"/>
    <x v="640"/>
    <x v="863"/>
    <x v="589"/>
    <x v="0"/>
  </r>
  <r>
    <x v="439"/>
    <x v="410"/>
    <x v="24"/>
    <x v="49"/>
    <x v="51"/>
    <x v="0"/>
    <x v="150"/>
    <x v="0"/>
    <x v="864"/>
    <x v="817"/>
    <x v="0"/>
  </r>
  <r>
    <x v="439"/>
    <x v="410"/>
    <x v="2"/>
    <x v="22"/>
    <x v="22"/>
    <x v="543"/>
    <x v="67"/>
    <x v="641"/>
    <x v="865"/>
    <x v="589"/>
    <x v="75"/>
  </r>
  <r>
    <x v="440"/>
    <x v="411"/>
    <x v="24"/>
    <x v="49"/>
    <x v="51"/>
    <x v="0"/>
    <x v="151"/>
    <x v="0"/>
    <x v="866"/>
    <x v="818"/>
    <x v="0"/>
  </r>
  <r>
    <x v="440"/>
    <x v="411"/>
    <x v="3"/>
    <x v="61"/>
    <x v="64"/>
    <x v="544"/>
    <x v="6"/>
    <x v="642"/>
    <x v="867"/>
    <x v="819"/>
    <x v="0"/>
  </r>
  <r>
    <x v="440"/>
    <x v="411"/>
    <x v="2"/>
    <x v="56"/>
    <x v="58"/>
    <x v="545"/>
    <x v="67"/>
    <x v="643"/>
    <x v="868"/>
    <x v="589"/>
    <x v="55"/>
  </r>
  <r>
    <x v="441"/>
    <x v="412"/>
    <x v="2"/>
    <x v="56"/>
    <x v="58"/>
    <x v="546"/>
    <x v="152"/>
    <x v="644"/>
    <x v="869"/>
    <x v="820"/>
    <x v="119"/>
  </r>
  <r>
    <x v="441"/>
    <x v="412"/>
    <x v="3"/>
    <x v="56"/>
    <x v="58"/>
    <x v="547"/>
    <x v="152"/>
    <x v="645"/>
    <x v="870"/>
    <x v="821"/>
    <x v="55"/>
  </r>
  <r>
    <x v="442"/>
    <x v="413"/>
    <x v="29"/>
    <x v="60"/>
    <x v="62"/>
    <x v="0"/>
    <x v="0"/>
    <x v="0"/>
    <x v="0"/>
    <x v="821"/>
    <x v="0"/>
  </r>
  <r>
    <x v="442"/>
    <x v="413"/>
    <x v="23"/>
    <x v="49"/>
    <x v="51"/>
    <x v="0"/>
    <x v="0"/>
    <x v="0"/>
    <x v="871"/>
    <x v="822"/>
    <x v="0"/>
  </r>
  <r>
    <x v="442"/>
    <x v="413"/>
    <x v="3"/>
    <x v="51"/>
    <x v="53"/>
    <x v="548"/>
    <x v="19"/>
    <x v="646"/>
    <x v="872"/>
    <x v="823"/>
    <x v="110"/>
  </r>
  <r>
    <x v="442"/>
    <x v="413"/>
    <x v="2"/>
    <x v="62"/>
    <x v="65"/>
    <x v="549"/>
    <x v="13"/>
    <x v="647"/>
    <x v="873"/>
    <x v="824"/>
    <x v="11"/>
  </r>
  <r>
    <x v="442"/>
    <x v="413"/>
    <x v="3"/>
    <x v="56"/>
    <x v="58"/>
    <x v="550"/>
    <x v="67"/>
    <x v="648"/>
    <x v="874"/>
    <x v="825"/>
    <x v="75"/>
  </r>
  <r>
    <x v="442"/>
    <x v="413"/>
    <x v="3"/>
    <x v="22"/>
    <x v="22"/>
    <x v="551"/>
    <x v="67"/>
    <x v="401"/>
    <x v="875"/>
    <x v="589"/>
    <x v="0"/>
  </r>
  <r>
    <x v="443"/>
    <x v="414"/>
    <x v="24"/>
    <x v="49"/>
    <x v="51"/>
    <x v="0"/>
    <x v="153"/>
    <x v="0"/>
    <x v="876"/>
    <x v="826"/>
    <x v="0"/>
  </r>
  <r>
    <x v="443"/>
    <x v="414"/>
    <x v="3"/>
    <x v="56"/>
    <x v="58"/>
    <x v="552"/>
    <x v="67"/>
    <x v="448"/>
    <x v="877"/>
    <x v="827"/>
    <x v="0"/>
  </r>
  <r>
    <x v="443"/>
    <x v="414"/>
    <x v="3"/>
    <x v="62"/>
    <x v="65"/>
    <x v="553"/>
    <x v="13"/>
    <x v="649"/>
    <x v="878"/>
    <x v="828"/>
    <x v="0"/>
  </r>
  <r>
    <x v="443"/>
    <x v="414"/>
    <x v="2"/>
    <x v="56"/>
    <x v="58"/>
    <x v="554"/>
    <x v="67"/>
    <x v="650"/>
    <x v="879"/>
    <x v="829"/>
    <x v="75"/>
  </r>
  <r>
    <x v="443"/>
    <x v="414"/>
    <x v="2"/>
    <x v="63"/>
    <x v="66"/>
    <x v="555"/>
    <x v="13"/>
    <x v="626"/>
    <x v="880"/>
    <x v="589"/>
    <x v="11"/>
  </r>
  <r>
    <x v="444"/>
    <x v="415"/>
    <x v="24"/>
    <x v="49"/>
    <x v="51"/>
    <x v="0"/>
    <x v="154"/>
    <x v="0"/>
    <x v="881"/>
    <x v="830"/>
    <x v="0"/>
  </r>
  <r>
    <x v="444"/>
    <x v="415"/>
    <x v="2"/>
    <x v="22"/>
    <x v="22"/>
    <x v="556"/>
    <x v="67"/>
    <x v="651"/>
    <x v="882"/>
    <x v="831"/>
    <x v="75"/>
  </r>
  <r>
    <x v="444"/>
    <x v="415"/>
    <x v="3"/>
    <x v="56"/>
    <x v="58"/>
    <x v="557"/>
    <x v="67"/>
    <x v="652"/>
    <x v="883"/>
    <x v="832"/>
    <x v="0"/>
  </r>
  <r>
    <x v="444"/>
    <x v="415"/>
    <x v="3"/>
    <x v="63"/>
    <x v="66"/>
    <x v="558"/>
    <x v="13"/>
    <x v="653"/>
    <x v="884"/>
    <x v="833"/>
    <x v="0"/>
  </r>
  <r>
    <x v="444"/>
    <x v="415"/>
    <x v="2"/>
    <x v="62"/>
    <x v="65"/>
    <x v="559"/>
    <x v="13"/>
    <x v="409"/>
    <x v="885"/>
    <x v="834"/>
    <x v="11"/>
  </r>
  <r>
    <x v="444"/>
    <x v="415"/>
    <x v="2"/>
    <x v="56"/>
    <x v="58"/>
    <x v="560"/>
    <x v="67"/>
    <x v="654"/>
    <x v="886"/>
    <x v="589"/>
    <x v="75"/>
  </r>
  <r>
    <x v="445"/>
    <x v="416"/>
    <x v="24"/>
    <x v="49"/>
    <x v="51"/>
    <x v="0"/>
    <x v="155"/>
    <x v="0"/>
    <x v="887"/>
    <x v="835"/>
    <x v="0"/>
  </r>
  <r>
    <x v="445"/>
    <x v="416"/>
    <x v="3"/>
    <x v="56"/>
    <x v="58"/>
    <x v="561"/>
    <x v="67"/>
    <x v="655"/>
    <x v="888"/>
    <x v="836"/>
    <x v="0"/>
  </r>
  <r>
    <x v="445"/>
    <x v="416"/>
    <x v="2"/>
    <x v="22"/>
    <x v="22"/>
    <x v="186"/>
    <x v="67"/>
    <x v="656"/>
    <x v="889"/>
    <x v="589"/>
    <x v="55"/>
  </r>
  <r>
    <x v="446"/>
    <x v="417"/>
    <x v="23"/>
    <x v="49"/>
    <x v="51"/>
    <x v="0"/>
    <x v="0"/>
    <x v="0"/>
    <x v="890"/>
    <x v="837"/>
    <x v="0"/>
  </r>
  <r>
    <x v="446"/>
    <x v="417"/>
    <x v="3"/>
    <x v="22"/>
    <x v="22"/>
    <x v="562"/>
    <x v="67"/>
    <x v="657"/>
    <x v="891"/>
    <x v="838"/>
    <x v="75"/>
  </r>
  <r>
    <x v="446"/>
    <x v="417"/>
    <x v="2"/>
    <x v="56"/>
    <x v="58"/>
    <x v="563"/>
    <x v="67"/>
    <x v="658"/>
    <x v="892"/>
    <x v="589"/>
    <x v="75"/>
  </r>
  <r>
    <x v="447"/>
    <x v="418"/>
    <x v="23"/>
    <x v="49"/>
    <x v="51"/>
    <x v="0"/>
    <x v="0"/>
    <x v="0"/>
    <x v="893"/>
    <x v="839"/>
    <x v="0"/>
  </r>
  <r>
    <x v="447"/>
    <x v="418"/>
    <x v="3"/>
    <x v="56"/>
    <x v="58"/>
    <x v="564"/>
    <x v="67"/>
    <x v="659"/>
    <x v="894"/>
    <x v="840"/>
    <x v="0"/>
  </r>
  <r>
    <x v="447"/>
    <x v="418"/>
    <x v="3"/>
    <x v="22"/>
    <x v="22"/>
    <x v="463"/>
    <x v="67"/>
    <x v="660"/>
    <x v="895"/>
    <x v="841"/>
    <x v="0"/>
  </r>
  <r>
    <x v="447"/>
    <x v="418"/>
    <x v="2"/>
    <x v="43"/>
    <x v="44"/>
    <x v="565"/>
    <x v="19"/>
    <x v="661"/>
    <x v="896"/>
    <x v="589"/>
    <x v="37"/>
  </r>
  <r>
    <x v="448"/>
    <x v="419"/>
    <x v="23"/>
    <x v="49"/>
    <x v="51"/>
    <x v="0"/>
    <x v="0"/>
    <x v="0"/>
    <x v="897"/>
    <x v="842"/>
    <x v="0"/>
  </r>
  <r>
    <x v="448"/>
    <x v="419"/>
    <x v="3"/>
    <x v="43"/>
    <x v="44"/>
    <x v="219"/>
    <x v="19"/>
    <x v="662"/>
    <x v="898"/>
    <x v="589"/>
    <x v="34"/>
  </r>
  <r>
    <x v="449"/>
    <x v="420"/>
    <x v="23"/>
    <x v="49"/>
    <x v="51"/>
    <x v="0"/>
    <x v="0"/>
    <x v="0"/>
    <x v="899"/>
    <x v="843"/>
    <x v="0"/>
  </r>
  <r>
    <x v="449"/>
    <x v="420"/>
    <x v="3"/>
    <x v="62"/>
    <x v="65"/>
    <x v="566"/>
    <x v="13"/>
    <x v="663"/>
    <x v="900"/>
    <x v="589"/>
    <x v="0"/>
  </r>
  <r>
    <x v="450"/>
    <x v="421"/>
    <x v="24"/>
    <x v="49"/>
    <x v="51"/>
    <x v="0"/>
    <x v="144"/>
    <x v="0"/>
    <x v="849"/>
    <x v="540"/>
    <x v="0"/>
  </r>
  <r>
    <x v="450"/>
    <x v="420"/>
    <x v="26"/>
    <x v="64"/>
    <x v="67"/>
    <x v="536"/>
    <x v="6"/>
    <x v="20"/>
    <x v="39"/>
    <x v="0"/>
    <x v="0"/>
  </r>
  <r>
    <x v="451"/>
    <x v="422"/>
    <x v="24"/>
    <x v="49"/>
    <x v="51"/>
    <x v="0"/>
    <x v="156"/>
    <x v="0"/>
    <x v="901"/>
    <x v="844"/>
    <x v="0"/>
  </r>
  <r>
    <x v="451"/>
    <x v="420"/>
    <x v="27"/>
    <x v="64"/>
    <x v="67"/>
    <x v="536"/>
    <x v="6"/>
    <x v="20"/>
    <x v="0"/>
    <x v="844"/>
    <x v="118"/>
  </r>
  <r>
    <x v="451"/>
    <x v="422"/>
    <x v="2"/>
    <x v="56"/>
    <x v="58"/>
    <x v="547"/>
    <x v="67"/>
    <x v="412"/>
    <x v="902"/>
    <x v="845"/>
    <x v="75"/>
  </r>
  <r>
    <x v="451"/>
    <x v="422"/>
    <x v="2"/>
    <x v="62"/>
    <x v="65"/>
    <x v="567"/>
    <x v="13"/>
    <x v="664"/>
    <x v="903"/>
    <x v="589"/>
    <x v="11"/>
  </r>
  <r>
    <x v="452"/>
    <x v="423"/>
    <x v="23"/>
    <x v="49"/>
    <x v="51"/>
    <x v="0"/>
    <x v="0"/>
    <x v="0"/>
    <x v="904"/>
    <x v="846"/>
    <x v="0"/>
  </r>
  <r>
    <x v="452"/>
    <x v="423"/>
    <x v="3"/>
    <x v="62"/>
    <x v="65"/>
    <x v="568"/>
    <x v="13"/>
    <x v="632"/>
    <x v="905"/>
    <x v="589"/>
    <x v="0"/>
  </r>
  <r>
    <x v="453"/>
    <x v="424"/>
    <x v="24"/>
    <x v="49"/>
    <x v="51"/>
    <x v="0"/>
    <x v="157"/>
    <x v="0"/>
    <x v="906"/>
    <x v="847"/>
    <x v="0"/>
  </r>
  <r>
    <x v="453"/>
    <x v="424"/>
    <x v="2"/>
    <x v="56"/>
    <x v="58"/>
    <x v="561"/>
    <x v="67"/>
    <x v="655"/>
    <x v="907"/>
    <x v="589"/>
    <x v="55"/>
  </r>
  <r>
    <x v="454"/>
    <x v="425"/>
    <x v="24"/>
    <x v="49"/>
    <x v="51"/>
    <x v="0"/>
    <x v="158"/>
    <x v="0"/>
    <x v="908"/>
    <x v="848"/>
    <x v="0"/>
  </r>
  <r>
    <x v="454"/>
    <x v="425"/>
    <x v="2"/>
    <x v="62"/>
    <x v="65"/>
    <x v="569"/>
    <x v="13"/>
    <x v="665"/>
    <x v="909"/>
    <x v="589"/>
    <x v="11"/>
  </r>
  <r>
    <x v="455"/>
    <x v="426"/>
    <x v="24"/>
    <x v="49"/>
    <x v="51"/>
    <x v="0"/>
    <x v="159"/>
    <x v="0"/>
    <x v="910"/>
    <x v="849"/>
    <x v="0"/>
  </r>
  <r>
    <x v="455"/>
    <x v="426"/>
    <x v="2"/>
    <x v="51"/>
    <x v="53"/>
    <x v="460"/>
    <x v="65"/>
    <x v="595"/>
    <x v="773"/>
    <x v="589"/>
    <x v="113"/>
  </r>
  <r>
    <x v="456"/>
    <x v="427"/>
    <x v="23"/>
    <x v="49"/>
    <x v="51"/>
    <x v="0"/>
    <x v="0"/>
    <x v="0"/>
    <x v="911"/>
    <x v="850"/>
    <x v="0"/>
  </r>
  <r>
    <x v="456"/>
    <x v="420"/>
    <x v="28"/>
    <x v="65"/>
    <x v="63"/>
    <x v="0"/>
    <x v="6"/>
    <x v="0"/>
    <x v="0"/>
    <x v="850"/>
    <x v="118"/>
  </r>
  <r>
    <x v="456"/>
    <x v="427"/>
    <x v="3"/>
    <x v="51"/>
    <x v="53"/>
    <x v="570"/>
    <x v="65"/>
    <x v="666"/>
    <x v="912"/>
    <x v="589"/>
    <x v="110"/>
  </r>
  <r>
    <x v="457"/>
    <x v="428"/>
    <x v="24"/>
    <x v="49"/>
    <x v="51"/>
    <x v="0"/>
    <x v="160"/>
    <x v="0"/>
    <x v="913"/>
    <x v="851"/>
    <x v="0"/>
  </r>
  <r>
    <x v="457"/>
    <x v="428"/>
    <x v="2"/>
    <x v="66"/>
    <x v="68"/>
    <x v="571"/>
    <x v="67"/>
    <x v="667"/>
    <x v="914"/>
    <x v="589"/>
    <x v="75"/>
  </r>
  <r>
    <x v="458"/>
    <x v="429"/>
    <x v="23"/>
    <x v="49"/>
    <x v="51"/>
    <x v="0"/>
    <x v="0"/>
    <x v="0"/>
    <x v="915"/>
    <x v="852"/>
    <x v="0"/>
  </r>
  <r>
    <x v="458"/>
    <x v="429"/>
    <x v="3"/>
    <x v="65"/>
    <x v="69"/>
    <x v="572"/>
    <x v="6"/>
    <x v="668"/>
    <x v="916"/>
    <x v="853"/>
    <x v="0"/>
  </r>
  <r>
    <x v="458"/>
    <x v="429"/>
    <x v="3"/>
    <x v="36"/>
    <x v="37"/>
    <x v="486"/>
    <x v="31"/>
    <x v="584"/>
    <x v="728"/>
    <x v="854"/>
    <x v="0"/>
  </r>
  <r>
    <x v="458"/>
    <x v="429"/>
    <x v="2"/>
    <x v="56"/>
    <x v="58"/>
    <x v="573"/>
    <x v="67"/>
    <x v="669"/>
    <x v="917"/>
    <x v="855"/>
    <x v="72"/>
  </r>
  <r>
    <x v="458"/>
    <x v="429"/>
    <x v="3"/>
    <x v="56"/>
    <x v="58"/>
    <x v="574"/>
    <x v="67"/>
    <x v="670"/>
    <x v="918"/>
    <x v="589"/>
    <x v="55"/>
  </r>
  <r>
    <x v="459"/>
    <x v="430"/>
    <x v="24"/>
    <x v="49"/>
    <x v="51"/>
    <x v="0"/>
    <x v="161"/>
    <x v="0"/>
    <x v="919"/>
    <x v="712"/>
    <x v="0"/>
  </r>
  <r>
    <x v="459"/>
    <x v="430"/>
    <x v="2"/>
    <x v="56"/>
    <x v="58"/>
    <x v="575"/>
    <x v="67"/>
    <x v="671"/>
    <x v="920"/>
    <x v="856"/>
    <x v="72"/>
  </r>
  <r>
    <x v="459"/>
    <x v="430"/>
    <x v="3"/>
    <x v="56"/>
    <x v="58"/>
    <x v="576"/>
    <x v="67"/>
    <x v="672"/>
    <x v="921"/>
    <x v="589"/>
    <x v="55"/>
  </r>
  <r>
    <x v="460"/>
    <x v="431"/>
    <x v="29"/>
    <x v="64"/>
    <x v="67"/>
    <x v="0"/>
    <x v="0"/>
    <x v="0"/>
    <x v="0"/>
    <x v="589"/>
    <x v="0"/>
  </r>
  <r>
    <x v="461"/>
    <x v="432"/>
    <x v="24"/>
    <x v="49"/>
    <x v="51"/>
    <x v="0"/>
    <x v="144"/>
    <x v="0"/>
    <x v="849"/>
    <x v="540"/>
    <x v="0"/>
  </r>
  <r>
    <x v="461"/>
    <x v="430"/>
    <x v="26"/>
    <x v="67"/>
    <x v="70"/>
    <x v="536"/>
    <x v="6"/>
    <x v="20"/>
    <x v="39"/>
    <x v="0"/>
    <x v="0"/>
  </r>
  <r>
    <x v="462"/>
    <x v="433"/>
    <x v="24"/>
    <x v="49"/>
    <x v="51"/>
    <x v="0"/>
    <x v="162"/>
    <x v="0"/>
    <x v="922"/>
    <x v="857"/>
    <x v="0"/>
  </r>
  <r>
    <x v="462"/>
    <x v="430"/>
    <x v="27"/>
    <x v="67"/>
    <x v="70"/>
    <x v="536"/>
    <x v="6"/>
    <x v="20"/>
    <x v="0"/>
    <x v="857"/>
    <x v="118"/>
  </r>
  <r>
    <x v="462"/>
    <x v="433"/>
    <x v="2"/>
    <x v="56"/>
    <x v="58"/>
    <x v="577"/>
    <x v="67"/>
    <x v="673"/>
    <x v="923"/>
    <x v="858"/>
    <x v="72"/>
  </r>
  <r>
    <x v="462"/>
    <x v="431"/>
    <x v="26"/>
    <x v="68"/>
    <x v="71"/>
    <x v="578"/>
    <x v="13"/>
    <x v="674"/>
    <x v="924"/>
    <x v="859"/>
    <x v="0"/>
  </r>
  <r>
    <x v="462"/>
    <x v="431"/>
    <x v="26"/>
    <x v="69"/>
    <x v="72"/>
    <x v="536"/>
    <x v="6"/>
    <x v="20"/>
    <x v="39"/>
    <x v="589"/>
    <x v="0"/>
  </r>
  <r>
    <x v="463"/>
    <x v="434"/>
    <x v="23"/>
    <x v="49"/>
    <x v="51"/>
    <x v="0"/>
    <x v="0"/>
    <x v="0"/>
    <x v="925"/>
    <x v="860"/>
    <x v="0"/>
  </r>
  <r>
    <x v="463"/>
    <x v="431"/>
    <x v="27"/>
    <x v="68"/>
    <x v="71"/>
    <x v="578"/>
    <x v="13"/>
    <x v="674"/>
    <x v="0"/>
    <x v="860"/>
    <x v="11"/>
  </r>
  <r>
    <x v="463"/>
    <x v="431"/>
    <x v="27"/>
    <x v="69"/>
    <x v="72"/>
    <x v="536"/>
    <x v="6"/>
    <x v="20"/>
    <x v="0"/>
    <x v="860"/>
    <x v="118"/>
  </r>
  <r>
    <x v="463"/>
    <x v="434"/>
    <x v="3"/>
    <x v="56"/>
    <x v="58"/>
    <x v="579"/>
    <x v="67"/>
    <x v="675"/>
    <x v="926"/>
    <x v="589"/>
    <x v="55"/>
  </r>
  <r>
    <x v="464"/>
    <x v="435"/>
    <x v="24"/>
    <x v="49"/>
    <x v="51"/>
    <x v="0"/>
    <x v="94"/>
    <x v="0"/>
    <x v="606"/>
    <x v="621"/>
    <x v="0"/>
  </r>
  <r>
    <x v="464"/>
    <x v="430"/>
    <x v="28"/>
    <x v="70"/>
    <x v="63"/>
    <x v="0"/>
    <x v="6"/>
    <x v="0"/>
    <x v="0"/>
    <x v="621"/>
    <x v="118"/>
  </r>
  <r>
    <x v="464"/>
    <x v="435"/>
    <x v="2"/>
    <x v="66"/>
    <x v="68"/>
    <x v="580"/>
    <x v="67"/>
    <x v="503"/>
    <x v="607"/>
    <x v="589"/>
    <x v="55"/>
  </r>
  <r>
    <x v="465"/>
    <x v="431"/>
    <x v="28"/>
    <x v="71"/>
    <x v="63"/>
    <x v="0"/>
    <x v="13"/>
    <x v="0"/>
    <x v="0"/>
    <x v="589"/>
    <x v="11"/>
  </r>
  <r>
    <x v="466"/>
    <x v="436"/>
    <x v="23"/>
    <x v="49"/>
    <x v="51"/>
    <x v="0"/>
    <x v="0"/>
    <x v="0"/>
    <x v="927"/>
    <x v="861"/>
    <x v="0"/>
  </r>
  <r>
    <x v="466"/>
    <x v="436"/>
    <x v="3"/>
    <x v="66"/>
    <x v="68"/>
    <x v="581"/>
    <x v="49"/>
    <x v="578"/>
    <x v="928"/>
    <x v="589"/>
    <x v="0"/>
  </r>
  <r>
    <x v="467"/>
    <x v="437"/>
    <x v="21"/>
    <x v="23"/>
    <x v="26"/>
    <x v="0"/>
    <x v="163"/>
    <x v="0"/>
    <x v="0"/>
    <x v="589"/>
    <x v="120"/>
  </r>
  <r>
    <x v="468"/>
    <x v="438"/>
    <x v="1"/>
    <x v="1"/>
    <x v="1"/>
    <x v="0"/>
    <x v="0"/>
    <x v="0"/>
    <x v="929"/>
    <x v="862"/>
    <x v="0"/>
  </r>
  <r>
    <x v="468"/>
    <x v="438"/>
    <x v="5"/>
    <x v="1"/>
    <x v="1"/>
    <x v="0"/>
    <x v="0"/>
    <x v="0"/>
    <x v="930"/>
    <x v="863"/>
    <x v="0"/>
  </r>
  <r>
    <x v="468"/>
    <x v="438"/>
    <x v="23"/>
    <x v="49"/>
    <x v="51"/>
    <x v="0"/>
    <x v="0"/>
    <x v="0"/>
    <x v="931"/>
    <x v="864"/>
    <x v="0"/>
  </r>
  <r>
    <x v="468"/>
    <x v="438"/>
    <x v="3"/>
    <x v="62"/>
    <x v="65"/>
    <x v="582"/>
    <x v="13"/>
    <x v="676"/>
    <x v="932"/>
    <x v="865"/>
    <x v="0"/>
  </r>
  <r>
    <x v="469"/>
    <x v="439"/>
    <x v="30"/>
    <x v="72"/>
    <x v="73"/>
    <x v="0"/>
    <x v="0"/>
    <x v="44"/>
    <x v="933"/>
    <x v="866"/>
    <x v="0"/>
  </r>
  <r>
    <x v="469"/>
    <x v="439"/>
    <x v="4"/>
    <x v="1"/>
    <x v="1"/>
    <x v="0"/>
    <x v="0"/>
    <x v="0"/>
    <x v="62"/>
    <x v="865"/>
    <x v="0"/>
  </r>
  <r>
    <x v="469"/>
    <x v="439"/>
    <x v="31"/>
    <x v="49"/>
    <x v="51"/>
    <x v="0"/>
    <x v="62"/>
    <x v="44"/>
    <x v="933"/>
    <x v="866"/>
    <x v="0"/>
  </r>
  <r>
    <x v="469"/>
    <x v="97"/>
    <x v="25"/>
    <x v="49"/>
    <x v="51"/>
    <x v="0"/>
    <x v="0"/>
    <x v="677"/>
    <x v="934"/>
    <x v="867"/>
    <x v="0"/>
  </r>
  <r>
    <x v="469"/>
    <x v="439"/>
    <x v="23"/>
    <x v="49"/>
    <x v="51"/>
    <x v="0"/>
    <x v="0"/>
    <x v="0"/>
    <x v="935"/>
    <x v="868"/>
    <x v="0"/>
  </r>
  <r>
    <x v="469"/>
    <x v="439"/>
    <x v="30"/>
    <x v="72"/>
    <x v="73"/>
    <x v="0"/>
    <x v="0"/>
    <x v="0"/>
    <x v="62"/>
    <x v="869"/>
    <x v="0"/>
  </r>
  <r>
    <x v="469"/>
    <x v="439"/>
    <x v="3"/>
    <x v="71"/>
    <x v="74"/>
    <x v="583"/>
    <x v="13"/>
    <x v="678"/>
    <x v="936"/>
    <x v="870"/>
    <x v="0"/>
  </r>
  <r>
    <x v="469"/>
    <x v="439"/>
    <x v="3"/>
    <x v="56"/>
    <x v="58"/>
    <x v="495"/>
    <x v="67"/>
    <x v="679"/>
    <x v="937"/>
    <x v="871"/>
    <x v="75"/>
  </r>
  <r>
    <x v="470"/>
    <x v="97"/>
    <x v="9"/>
    <x v="51"/>
    <x v="53"/>
    <x v="0"/>
    <x v="0"/>
    <x v="0"/>
    <x v="938"/>
    <x v="872"/>
    <x v="0"/>
  </r>
  <r>
    <x v="471"/>
    <x v="440"/>
    <x v="24"/>
    <x v="49"/>
    <x v="51"/>
    <x v="0"/>
    <x v="164"/>
    <x v="0"/>
    <x v="939"/>
    <x v="873"/>
    <x v="0"/>
  </r>
  <r>
    <x v="471"/>
    <x v="440"/>
    <x v="2"/>
    <x v="62"/>
    <x v="65"/>
    <x v="584"/>
    <x v="13"/>
    <x v="680"/>
    <x v="940"/>
    <x v="589"/>
    <x v="11"/>
  </r>
  <r>
    <x v="472"/>
    <x v="431"/>
    <x v="28"/>
    <x v="73"/>
    <x v="63"/>
    <x v="0"/>
    <x v="6"/>
    <x v="0"/>
    <x v="0"/>
    <x v="589"/>
    <x v="118"/>
  </r>
  <r>
    <x v="473"/>
    <x v="441"/>
    <x v="29"/>
    <x v="67"/>
    <x v="70"/>
    <x v="0"/>
    <x v="0"/>
    <x v="0"/>
    <x v="0"/>
    <x v="589"/>
    <x v="0"/>
  </r>
  <r>
    <x v="474"/>
    <x v="442"/>
    <x v="24"/>
    <x v="49"/>
    <x v="51"/>
    <x v="0"/>
    <x v="165"/>
    <x v="0"/>
    <x v="941"/>
    <x v="874"/>
    <x v="0"/>
  </r>
  <r>
    <x v="474"/>
    <x v="442"/>
    <x v="2"/>
    <x v="22"/>
    <x v="22"/>
    <x v="585"/>
    <x v="49"/>
    <x v="681"/>
    <x v="942"/>
    <x v="875"/>
    <x v="55"/>
  </r>
  <r>
    <x v="474"/>
    <x v="442"/>
    <x v="7"/>
    <x v="53"/>
    <x v="55"/>
    <x v="586"/>
    <x v="166"/>
    <x v="682"/>
    <x v="943"/>
    <x v="876"/>
    <x v="0"/>
  </r>
  <r>
    <x v="475"/>
    <x v="443"/>
    <x v="23"/>
    <x v="49"/>
    <x v="51"/>
    <x v="0"/>
    <x v="0"/>
    <x v="0"/>
    <x v="944"/>
    <x v="877"/>
    <x v="0"/>
  </r>
  <r>
    <x v="475"/>
    <x v="442"/>
    <x v="8"/>
    <x v="53"/>
    <x v="55"/>
    <x v="586"/>
    <x v="166"/>
    <x v="683"/>
    <x v="945"/>
    <x v="0"/>
    <x v="0"/>
  </r>
  <r>
    <x v="476"/>
    <x v="444"/>
    <x v="23"/>
    <x v="49"/>
    <x v="51"/>
    <x v="0"/>
    <x v="0"/>
    <x v="0"/>
    <x v="946"/>
    <x v="878"/>
    <x v="0"/>
  </r>
  <r>
    <x v="476"/>
    <x v="444"/>
    <x v="3"/>
    <x v="22"/>
    <x v="22"/>
    <x v="478"/>
    <x v="49"/>
    <x v="684"/>
    <x v="947"/>
    <x v="589"/>
    <x v="0"/>
  </r>
  <r>
    <x v="477"/>
    <x v="445"/>
    <x v="24"/>
    <x v="49"/>
    <x v="51"/>
    <x v="0"/>
    <x v="95"/>
    <x v="0"/>
    <x v="948"/>
    <x v="879"/>
    <x v="0"/>
  </r>
  <r>
    <x v="477"/>
    <x v="445"/>
    <x v="2"/>
    <x v="62"/>
    <x v="65"/>
    <x v="587"/>
    <x v="13"/>
    <x v="504"/>
    <x v="949"/>
    <x v="589"/>
    <x v="19"/>
  </r>
  <r>
    <x v="478"/>
    <x v="446"/>
    <x v="23"/>
    <x v="49"/>
    <x v="51"/>
    <x v="0"/>
    <x v="0"/>
    <x v="0"/>
    <x v="950"/>
    <x v="880"/>
    <x v="0"/>
  </r>
  <r>
    <x v="478"/>
    <x v="446"/>
    <x v="3"/>
    <x v="62"/>
    <x v="65"/>
    <x v="588"/>
    <x v="13"/>
    <x v="246"/>
    <x v="951"/>
    <x v="881"/>
    <x v="11"/>
  </r>
  <r>
    <x v="478"/>
    <x v="447"/>
    <x v="26"/>
    <x v="74"/>
    <x v="75"/>
    <x v="589"/>
    <x v="3"/>
    <x v="685"/>
    <x v="952"/>
    <x v="589"/>
    <x v="0"/>
  </r>
  <r>
    <x v="479"/>
    <x v="448"/>
    <x v="24"/>
    <x v="49"/>
    <x v="51"/>
    <x v="0"/>
    <x v="167"/>
    <x v="0"/>
    <x v="953"/>
    <x v="882"/>
    <x v="0"/>
  </r>
  <r>
    <x v="479"/>
    <x v="447"/>
    <x v="27"/>
    <x v="74"/>
    <x v="75"/>
    <x v="589"/>
    <x v="3"/>
    <x v="685"/>
    <x v="0"/>
    <x v="882"/>
    <x v="3"/>
  </r>
  <r>
    <x v="479"/>
    <x v="448"/>
    <x v="2"/>
    <x v="22"/>
    <x v="22"/>
    <x v="590"/>
    <x v="49"/>
    <x v="686"/>
    <x v="954"/>
    <x v="589"/>
    <x v="55"/>
  </r>
  <r>
    <x v="480"/>
    <x v="449"/>
    <x v="23"/>
    <x v="49"/>
    <x v="51"/>
    <x v="0"/>
    <x v="0"/>
    <x v="0"/>
    <x v="955"/>
    <x v="883"/>
    <x v="0"/>
  </r>
  <r>
    <x v="480"/>
    <x v="447"/>
    <x v="28"/>
    <x v="74"/>
    <x v="75"/>
    <x v="589"/>
    <x v="3"/>
    <x v="0"/>
    <x v="0"/>
    <x v="883"/>
    <x v="3"/>
  </r>
  <r>
    <x v="480"/>
    <x v="449"/>
    <x v="3"/>
    <x v="22"/>
    <x v="22"/>
    <x v="591"/>
    <x v="49"/>
    <x v="687"/>
    <x v="956"/>
    <x v="884"/>
    <x v="0"/>
  </r>
  <r>
    <x v="480"/>
    <x v="449"/>
    <x v="2"/>
    <x v="62"/>
    <x v="65"/>
    <x v="592"/>
    <x v="13"/>
    <x v="688"/>
    <x v="957"/>
    <x v="589"/>
    <x v="19"/>
  </r>
  <r>
    <x v="481"/>
    <x v="450"/>
    <x v="23"/>
    <x v="49"/>
    <x v="51"/>
    <x v="0"/>
    <x v="0"/>
    <x v="0"/>
    <x v="958"/>
    <x v="885"/>
    <x v="0"/>
  </r>
  <r>
    <x v="481"/>
    <x v="450"/>
    <x v="3"/>
    <x v="62"/>
    <x v="65"/>
    <x v="593"/>
    <x v="13"/>
    <x v="689"/>
    <x v="959"/>
    <x v="886"/>
    <x v="11"/>
  </r>
  <r>
    <x v="481"/>
    <x v="450"/>
    <x v="2"/>
    <x v="56"/>
    <x v="58"/>
    <x v="576"/>
    <x v="67"/>
    <x v="672"/>
    <x v="960"/>
    <x v="589"/>
    <x v="55"/>
  </r>
  <r>
    <x v="482"/>
    <x v="451"/>
    <x v="23"/>
    <x v="49"/>
    <x v="51"/>
    <x v="0"/>
    <x v="0"/>
    <x v="0"/>
    <x v="961"/>
    <x v="887"/>
    <x v="0"/>
  </r>
  <r>
    <x v="482"/>
    <x v="451"/>
    <x v="3"/>
    <x v="73"/>
    <x v="76"/>
    <x v="594"/>
    <x v="6"/>
    <x v="690"/>
    <x v="962"/>
    <x v="589"/>
    <x v="0"/>
  </r>
  <r>
    <x v="483"/>
    <x v="452"/>
    <x v="29"/>
    <x v="69"/>
    <x v="72"/>
    <x v="0"/>
    <x v="0"/>
    <x v="0"/>
    <x v="0"/>
    <x v="589"/>
    <x v="0"/>
  </r>
  <r>
    <x v="483"/>
    <x v="452"/>
    <x v="24"/>
    <x v="49"/>
    <x v="51"/>
    <x v="0"/>
    <x v="168"/>
    <x v="0"/>
    <x v="963"/>
    <x v="888"/>
    <x v="0"/>
  </r>
  <r>
    <x v="483"/>
    <x v="452"/>
    <x v="2"/>
    <x v="62"/>
    <x v="65"/>
    <x v="595"/>
    <x v="13"/>
    <x v="579"/>
    <x v="964"/>
    <x v="589"/>
    <x v="19"/>
  </r>
  <r>
    <x v="484"/>
    <x v="453"/>
    <x v="24"/>
    <x v="49"/>
    <x v="51"/>
    <x v="0"/>
    <x v="169"/>
    <x v="0"/>
    <x v="965"/>
    <x v="889"/>
    <x v="0"/>
  </r>
  <r>
    <x v="484"/>
    <x v="453"/>
    <x v="2"/>
    <x v="62"/>
    <x v="65"/>
    <x v="596"/>
    <x v="13"/>
    <x v="691"/>
    <x v="966"/>
    <x v="890"/>
    <x v="20"/>
  </r>
  <r>
    <x v="484"/>
    <x v="453"/>
    <x v="3"/>
    <x v="62"/>
    <x v="65"/>
    <x v="44"/>
    <x v="13"/>
    <x v="574"/>
    <x v="967"/>
    <x v="891"/>
    <x v="19"/>
  </r>
  <r>
    <x v="484"/>
    <x v="453"/>
    <x v="2"/>
    <x v="62"/>
    <x v="65"/>
    <x v="597"/>
    <x v="13"/>
    <x v="284"/>
    <x v="968"/>
    <x v="730"/>
    <x v="20"/>
  </r>
  <r>
    <x v="485"/>
    <x v="454"/>
    <x v="23"/>
    <x v="49"/>
    <x v="51"/>
    <x v="0"/>
    <x v="0"/>
    <x v="0"/>
    <x v="969"/>
    <x v="892"/>
    <x v="0"/>
  </r>
  <r>
    <x v="485"/>
    <x v="454"/>
    <x v="3"/>
    <x v="62"/>
    <x v="65"/>
    <x v="44"/>
    <x v="26"/>
    <x v="692"/>
    <x v="970"/>
    <x v="893"/>
    <x v="11"/>
  </r>
  <r>
    <x v="486"/>
    <x v="455"/>
    <x v="24"/>
    <x v="49"/>
    <x v="51"/>
    <x v="0"/>
    <x v="170"/>
    <x v="0"/>
    <x v="971"/>
    <x v="894"/>
    <x v="0"/>
  </r>
  <r>
    <x v="486"/>
    <x v="455"/>
    <x v="2"/>
    <x v="62"/>
    <x v="65"/>
    <x v="598"/>
    <x v="13"/>
    <x v="693"/>
    <x v="972"/>
    <x v="895"/>
    <x v="19"/>
  </r>
  <r>
    <x v="486"/>
    <x v="455"/>
    <x v="2"/>
    <x v="22"/>
    <x v="22"/>
    <x v="599"/>
    <x v="67"/>
    <x v="694"/>
    <x v="973"/>
    <x v="621"/>
    <x v="75"/>
  </r>
  <r>
    <x v="486"/>
    <x v="455"/>
    <x v="2"/>
    <x v="66"/>
    <x v="68"/>
    <x v="580"/>
    <x v="67"/>
    <x v="503"/>
    <x v="607"/>
    <x v="589"/>
    <x v="75"/>
  </r>
  <r>
    <x v="487"/>
    <x v="456"/>
    <x v="1"/>
    <x v="1"/>
    <x v="1"/>
    <x v="0"/>
    <x v="0"/>
    <x v="0"/>
    <x v="933"/>
    <x v="896"/>
    <x v="0"/>
  </r>
  <r>
    <x v="487"/>
    <x v="456"/>
    <x v="23"/>
    <x v="49"/>
    <x v="51"/>
    <x v="0"/>
    <x v="0"/>
    <x v="0"/>
    <x v="974"/>
    <x v="897"/>
    <x v="0"/>
  </r>
  <r>
    <x v="487"/>
    <x v="456"/>
    <x v="3"/>
    <x v="66"/>
    <x v="68"/>
    <x v="600"/>
    <x v="67"/>
    <x v="695"/>
    <x v="975"/>
    <x v="898"/>
    <x v="0"/>
  </r>
  <r>
    <x v="487"/>
    <x v="456"/>
    <x v="3"/>
    <x v="56"/>
    <x v="58"/>
    <x v="576"/>
    <x v="67"/>
    <x v="672"/>
    <x v="921"/>
    <x v="899"/>
    <x v="75"/>
  </r>
  <r>
    <x v="487"/>
    <x v="456"/>
    <x v="2"/>
    <x v="62"/>
    <x v="65"/>
    <x v="601"/>
    <x v="13"/>
    <x v="696"/>
    <x v="976"/>
    <x v="900"/>
    <x v="20"/>
  </r>
  <r>
    <x v="487"/>
    <x v="456"/>
    <x v="2"/>
    <x v="22"/>
    <x v="22"/>
    <x v="602"/>
    <x v="67"/>
    <x v="436"/>
    <x v="977"/>
    <x v="901"/>
    <x v="55"/>
  </r>
  <r>
    <x v="487"/>
    <x v="456"/>
    <x v="3"/>
    <x v="62"/>
    <x v="65"/>
    <x v="603"/>
    <x v="13"/>
    <x v="697"/>
    <x v="978"/>
    <x v="902"/>
    <x v="19"/>
  </r>
  <r>
    <x v="487"/>
    <x v="456"/>
    <x v="3"/>
    <x v="22"/>
    <x v="22"/>
    <x v="604"/>
    <x v="67"/>
    <x v="698"/>
    <x v="979"/>
    <x v="589"/>
    <x v="75"/>
  </r>
  <r>
    <x v="488"/>
    <x v="457"/>
    <x v="24"/>
    <x v="49"/>
    <x v="51"/>
    <x v="0"/>
    <x v="171"/>
    <x v="0"/>
    <x v="980"/>
    <x v="903"/>
    <x v="0"/>
  </r>
  <r>
    <x v="488"/>
    <x v="457"/>
    <x v="2"/>
    <x v="22"/>
    <x v="22"/>
    <x v="605"/>
    <x v="67"/>
    <x v="699"/>
    <x v="981"/>
    <x v="904"/>
    <x v="55"/>
  </r>
  <r>
    <x v="488"/>
    <x v="457"/>
    <x v="2"/>
    <x v="62"/>
    <x v="65"/>
    <x v="606"/>
    <x v="13"/>
    <x v="700"/>
    <x v="982"/>
    <x v="905"/>
    <x v="20"/>
  </r>
  <r>
    <x v="488"/>
    <x v="457"/>
    <x v="2"/>
    <x v="51"/>
    <x v="53"/>
    <x v="607"/>
    <x v="18"/>
    <x v="701"/>
    <x v="983"/>
    <x v="906"/>
    <x v="121"/>
  </r>
  <r>
    <x v="489"/>
    <x v="458"/>
    <x v="1"/>
    <x v="1"/>
    <x v="1"/>
    <x v="0"/>
    <x v="0"/>
    <x v="0"/>
    <x v="984"/>
    <x v="907"/>
    <x v="0"/>
  </r>
  <r>
    <x v="489"/>
    <x v="458"/>
    <x v="1"/>
    <x v="1"/>
    <x v="1"/>
    <x v="0"/>
    <x v="0"/>
    <x v="0"/>
    <x v="129"/>
    <x v="908"/>
    <x v="0"/>
  </r>
  <r>
    <x v="489"/>
    <x v="456"/>
    <x v="26"/>
    <x v="75"/>
    <x v="77"/>
    <x v="608"/>
    <x v="13"/>
    <x v="702"/>
    <x v="985"/>
    <x v="909"/>
    <x v="0"/>
  </r>
  <r>
    <x v="490"/>
    <x v="456"/>
    <x v="27"/>
    <x v="75"/>
    <x v="77"/>
    <x v="608"/>
    <x v="13"/>
    <x v="702"/>
    <x v="0"/>
    <x v="909"/>
    <x v="11"/>
  </r>
  <r>
    <x v="490"/>
    <x v="459"/>
    <x v="3"/>
    <x v="62"/>
    <x v="65"/>
    <x v="609"/>
    <x v="13"/>
    <x v="703"/>
    <x v="986"/>
    <x v="910"/>
    <x v="19"/>
  </r>
  <r>
    <x v="490"/>
    <x v="459"/>
    <x v="3"/>
    <x v="56"/>
    <x v="58"/>
    <x v="610"/>
    <x v="67"/>
    <x v="704"/>
    <x v="987"/>
    <x v="911"/>
    <x v="0"/>
  </r>
  <r>
    <x v="490"/>
    <x v="459"/>
    <x v="2"/>
    <x v="51"/>
    <x v="53"/>
    <x v="611"/>
    <x v="22"/>
    <x v="705"/>
    <x v="988"/>
    <x v="912"/>
    <x v="113"/>
  </r>
  <r>
    <x v="490"/>
    <x v="459"/>
    <x v="2"/>
    <x v="62"/>
    <x v="65"/>
    <x v="612"/>
    <x v="13"/>
    <x v="706"/>
    <x v="989"/>
    <x v="913"/>
    <x v="20"/>
  </r>
  <r>
    <x v="491"/>
    <x v="460"/>
    <x v="3"/>
    <x v="22"/>
    <x v="22"/>
    <x v="613"/>
    <x v="49"/>
    <x v="707"/>
    <x v="990"/>
    <x v="914"/>
    <x v="0"/>
  </r>
  <r>
    <x v="491"/>
    <x v="460"/>
    <x v="3"/>
    <x v="62"/>
    <x v="65"/>
    <x v="614"/>
    <x v="65"/>
    <x v="708"/>
    <x v="991"/>
    <x v="915"/>
    <x v="0"/>
  </r>
  <r>
    <x v="491"/>
    <x v="460"/>
    <x v="2"/>
    <x v="62"/>
    <x v="65"/>
    <x v="615"/>
    <x v="13"/>
    <x v="709"/>
    <x v="992"/>
    <x v="916"/>
    <x v="11"/>
  </r>
  <r>
    <x v="491"/>
    <x v="460"/>
    <x v="2"/>
    <x v="22"/>
    <x v="22"/>
    <x v="616"/>
    <x v="67"/>
    <x v="710"/>
    <x v="993"/>
    <x v="917"/>
    <x v="75"/>
  </r>
  <r>
    <x v="491"/>
    <x v="460"/>
    <x v="2"/>
    <x v="44"/>
    <x v="45"/>
    <x v="617"/>
    <x v="172"/>
    <x v="711"/>
    <x v="994"/>
    <x v="918"/>
    <x v="122"/>
  </r>
  <r>
    <x v="492"/>
    <x v="461"/>
    <x v="1"/>
    <x v="1"/>
    <x v="1"/>
    <x v="0"/>
    <x v="0"/>
    <x v="0"/>
    <x v="995"/>
    <x v="919"/>
    <x v="0"/>
  </r>
  <r>
    <x v="492"/>
    <x v="461"/>
    <x v="23"/>
    <x v="49"/>
    <x v="51"/>
    <x v="0"/>
    <x v="0"/>
    <x v="0"/>
    <x v="996"/>
    <x v="920"/>
    <x v="0"/>
  </r>
  <r>
    <x v="492"/>
    <x v="461"/>
    <x v="3"/>
    <x v="62"/>
    <x v="65"/>
    <x v="618"/>
    <x v="13"/>
    <x v="712"/>
    <x v="997"/>
    <x v="921"/>
    <x v="0"/>
  </r>
  <r>
    <x v="492"/>
    <x v="461"/>
    <x v="3"/>
    <x v="22"/>
    <x v="22"/>
    <x v="619"/>
    <x v="67"/>
    <x v="713"/>
    <x v="998"/>
    <x v="922"/>
    <x v="0"/>
  </r>
  <r>
    <x v="492"/>
    <x v="461"/>
    <x v="2"/>
    <x v="57"/>
    <x v="59"/>
    <x v="620"/>
    <x v="3"/>
    <x v="714"/>
    <x v="999"/>
    <x v="589"/>
    <x v="3"/>
  </r>
  <r>
    <x v="493"/>
    <x v="462"/>
    <x v="23"/>
    <x v="49"/>
    <x v="51"/>
    <x v="0"/>
    <x v="0"/>
    <x v="0"/>
    <x v="1000"/>
    <x v="923"/>
    <x v="0"/>
  </r>
  <r>
    <x v="493"/>
    <x v="456"/>
    <x v="28"/>
    <x v="76"/>
    <x v="63"/>
    <x v="608"/>
    <x v="13"/>
    <x v="0"/>
    <x v="0"/>
    <x v="923"/>
    <x v="11"/>
  </r>
  <r>
    <x v="493"/>
    <x v="462"/>
    <x v="3"/>
    <x v="74"/>
    <x v="75"/>
    <x v="621"/>
    <x v="3"/>
    <x v="715"/>
    <x v="1001"/>
    <x v="924"/>
    <x v="0"/>
  </r>
  <r>
    <x v="493"/>
    <x v="462"/>
    <x v="3"/>
    <x v="44"/>
    <x v="45"/>
    <x v="622"/>
    <x v="172"/>
    <x v="716"/>
    <x v="1002"/>
    <x v="925"/>
    <x v="0"/>
  </r>
  <r>
    <x v="493"/>
    <x v="462"/>
    <x v="2"/>
    <x v="62"/>
    <x v="65"/>
    <x v="623"/>
    <x v="26"/>
    <x v="717"/>
    <x v="1003"/>
    <x v="926"/>
    <x v="19"/>
  </r>
  <r>
    <x v="493"/>
    <x v="462"/>
    <x v="3"/>
    <x v="57"/>
    <x v="59"/>
    <x v="624"/>
    <x v="3"/>
    <x v="718"/>
    <x v="1004"/>
    <x v="927"/>
    <x v="0"/>
  </r>
  <r>
    <x v="493"/>
    <x v="462"/>
    <x v="2"/>
    <x v="56"/>
    <x v="58"/>
    <x v="625"/>
    <x v="49"/>
    <x v="719"/>
    <x v="1005"/>
    <x v="928"/>
    <x v="55"/>
  </r>
  <r>
    <x v="493"/>
    <x v="462"/>
    <x v="3"/>
    <x v="51"/>
    <x v="53"/>
    <x v="466"/>
    <x v="65"/>
    <x v="561"/>
    <x v="1006"/>
    <x v="589"/>
    <x v="110"/>
  </r>
  <r>
    <x v="494"/>
    <x v="463"/>
    <x v="23"/>
    <x v="49"/>
    <x v="51"/>
    <x v="0"/>
    <x v="0"/>
    <x v="0"/>
    <x v="1007"/>
    <x v="929"/>
    <x v="0"/>
  </r>
  <r>
    <x v="494"/>
    <x v="463"/>
    <x v="3"/>
    <x v="56"/>
    <x v="58"/>
    <x v="626"/>
    <x v="49"/>
    <x v="720"/>
    <x v="1008"/>
    <x v="930"/>
    <x v="0"/>
  </r>
  <r>
    <x v="495"/>
    <x v="97"/>
    <x v="9"/>
    <x v="51"/>
    <x v="53"/>
    <x v="0"/>
    <x v="0"/>
    <x v="0"/>
    <x v="938"/>
    <x v="589"/>
    <x v="0"/>
  </r>
  <r>
    <x v="495"/>
    <x v="464"/>
    <x v="23"/>
    <x v="49"/>
    <x v="51"/>
    <x v="0"/>
    <x v="0"/>
    <x v="0"/>
    <x v="1009"/>
    <x v="931"/>
    <x v="0"/>
  </r>
  <r>
    <x v="495"/>
    <x v="464"/>
    <x v="3"/>
    <x v="62"/>
    <x v="65"/>
    <x v="627"/>
    <x v="26"/>
    <x v="721"/>
    <x v="1010"/>
    <x v="932"/>
    <x v="0"/>
  </r>
  <r>
    <x v="496"/>
    <x v="465"/>
    <x v="24"/>
    <x v="49"/>
    <x v="51"/>
    <x v="0"/>
    <x v="173"/>
    <x v="0"/>
    <x v="1011"/>
    <x v="933"/>
    <x v="0"/>
  </r>
  <r>
    <x v="496"/>
    <x v="465"/>
    <x v="2"/>
    <x v="56"/>
    <x v="58"/>
    <x v="628"/>
    <x v="67"/>
    <x v="722"/>
    <x v="1012"/>
    <x v="589"/>
    <x v="75"/>
  </r>
  <r>
    <x v="497"/>
    <x v="466"/>
    <x v="24"/>
    <x v="49"/>
    <x v="51"/>
    <x v="0"/>
    <x v="174"/>
    <x v="0"/>
    <x v="1013"/>
    <x v="934"/>
    <x v="0"/>
  </r>
  <r>
    <x v="497"/>
    <x v="466"/>
    <x v="2"/>
    <x v="56"/>
    <x v="58"/>
    <x v="629"/>
    <x v="67"/>
    <x v="723"/>
    <x v="1014"/>
    <x v="589"/>
    <x v="55"/>
  </r>
  <r>
    <x v="498"/>
    <x v="467"/>
    <x v="24"/>
    <x v="49"/>
    <x v="51"/>
    <x v="0"/>
    <x v="175"/>
    <x v="0"/>
    <x v="1015"/>
    <x v="935"/>
    <x v="0"/>
  </r>
  <r>
    <x v="498"/>
    <x v="467"/>
    <x v="2"/>
    <x v="56"/>
    <x v="58"/>
    <x v="471"/>
    <x v="67"/>
    <x v="568"/>
    <x v="1016"/>
    <x v="936"/>
    <x v="72"/>
  </r>
  <r>
    <x v="498"/>
    <x v="467"/>
    <x v="3"/>
    <x v="56"/>
    <x v="58"/>
    <x v="630"/>
    <x v="49"/>
    <x v="402"/>
    <x v="1017"/>
    <x v="937"/>
    <x v="75"/>
  </r>
  <r>
    <x v="498"/>
    <x v="467"/>
    <x v="2"/>
    <x v="62"/>
    <x v="65"/>
    <x v="631"/>
    <x v="13"/>
    <x v="650"/>
    <x v="879"/>
    <x v="938"/>
    <x v="11"/>
  </r>
  <r>
    <x v="498"/>
    <x v="467"/>
    <x v="2"/>
    <x v="51"/>
    <x v="53"/>
    <x v="401"/>
    <x v="17"/>
    <x v="724"/>
    <x v="1018"/>
    <x v="939"/>
    <x v="123"/>
  </r>
  <r>
    <x v="498"/>
    <x v="467"/>
    <x v="2"/>
    <x v="56"/>
    <x v="58"/>
    <x v="580"/>
    <x v="67"/>
    <x v="725"/>
    <x v="1019"/>
    <x v="589"/>
    <x v="55"/>
  </r>
  <r>
    <x v="499"/>
    <x v="468"/>
    <x v="24"/>
    <x v="49"/>
    <x v="51"/>
    <x v="0"/>
    <x v="176"/>
    <x v="0"/>
    <x v="1020"/>
    <x v="940"/>
    <x v="0"/>
  </r>
  <r>
    <x v="499"/>
    <x v="468"/>
    <x v="2"/>
    <x v="77"/>
    <x v="78"/>
    <x v="632"/>
    <x v="67"/>
    <x v="441"/>
    <x v="1021"/>
    <x v="941"/>
    <x v="75"/>
  </r>
  <r>
    <x v="499"/>
    <x v="468"/>
    <x v="2"/>
    <x v="56"/>
    <x v="58"/>
    <x v="633"/>
    <x v="67"/>
    <x v="726"/>
    <x v="1022"/>
    <x v="942"/>
    <x v="72"/>
  </r>
  <r>
    <x v="499"/>
    <x v="468"/>
    <x v="2"/>
    <x v="22"/>
    <x v="22"/>
    <x v="634"/>
    <x v="67"/>
    <x v="727"/>
    <x v="1023"/>
    <x v="943"/>
    <x v="75"/>
  </r>
  <r>
    <x v="499"/>
    <x v="468"/>
    <x v="3"/>
    <x v="62"/>
    <x v="65"/>
    <x v="635"/>
    <x v="13"/>
    <x v="624"/>
    <x v="1024"/>
    <x v="944"/>
    <x v="0"/>
  </r>
  <r>
    <x v="499"/>
    <x v="468"/>
    <x v="3"/>
    <x v="56"/>
    <x v="58"/>
    <x v="636"/>
    <x v="67"/>
    <x v="728"/>
    <x v="1025"/>
    <x v="945"/>
    <x v="55"/>
  </r>
  <r>
    <x v="499"/>
    <x v="468"/>
    <x v="2"/>
    <x v="62"/>
    <x v="65"/>
    <x v="637"/>
    <x v="13"/>
    <x v="729"/>
    <x v="1026"/>
    <x v="946"/>
    <x v="11"/>
  </r>
  <r>
    <x v="500"/>
    <x v="469"/>
    <x v="23"/>
    <x v="49"/>
    <x v="51"/>
    <x v="0"/>
    <x v="0"/>
    <x v="0"/>
    <x v="1027"/>
    <x v="947"/>
    <x v="0"/>
  </r>
  <r>
    <x v="500"/>
    <x v="469"/>
    <x v="2"/>
    <x v="62"/>
    <x v="65"/>
    <x v="638"/>
    <x v="13"/>
    <x v="371"/>
    <x v="1028"/>
    <x v="948"/>
    <x v="19"/>
  </r>
  <r>
    <x v="500"/>
    <x v="469"/>
    <x v="3"/>
    <x v="77"/>
    <x v="78"/>
    <x v="639"/>
    <x v="67"/>
    <x v="730"/>
    <x v="1029"/>
    <x v="949"/>
    <x v="0"/>
  </r>
  <r>
    <x v="500"/>
    <x v="469"/>
    <x v="3"/>
    <x v="62"/>
    <x v="65"/>
    <x v="640"/>
    <x v="13"/>
    <x v="654"/>
    <x v="1030"/>
    <x v="950"/>
    <x v="11"/>
  </r>
  <r>
    <x v="500"/>
    <x v="469"/>
    <x v="3"/>
    <x v="22"/>
    <x v="22"/>
    <x v="641"/>
    <x v="67"/>
    <x v="731"/>
    <x v="1031"/>
    <x v="951"/>
    <x v="0"/>
  </r>
  <r>
    <x v="500"/>
    <x v="469"/>
    <x v="2"/>
    <x v="37"/>
    <x v="38"/>
    <x v="642"/>
    <x v="26"/>
    <x v="492"/>
    <x v="1032"/>
    <x v="589"/>
    <x v="19"/>
  </r>
  <r>
    <x v="501"/>
    <x v="470"/>
    <x v="24"/>
    <x v="49"/>
    <x v="51"/>
    <x v="0"/>
    <x v="177"/>
    <x v="0"/>
    <x v="1033"/>
    <x v="952"/>
    <x v="0"/>
  </r>
  <r>
    <x v="501"/>
    <x v="470"/>
    <x v="2"/>
    <x v="56"/>
    <x v="58"/>
    <x v="643"/>
    <x v="67"/>
    <x v="732"/>
    <x v="1034"/>
    <x v="589"/>
    <x v="72"/>
  </r>
  <r>
    <x v="502"/>
    <x v="471"/>
    <x v="30"/>
    <x v="72"/>
    <x v="73"/>
    <x v="0"/>
    <x v="0"/>
    <x v="733"/>
    <x v="65"/>
    <x v="953"/>
    <x v="0"/>
  </r>
  <r>
    <x v="502"/>
    <x v="471"/>
    <x v="4"/>
    <x v="1"/>
    <x v="1"/>
    <x v="0"/>
    <x v="0"/>
    <x v="0"/>
    <x v="379"/>
    <x v="589"/>
    <x v="0"/>
  </r>
  <r>
    <x v="502"/>
    <x v="471"/>
    <x v="31"/>
    <x v="49"/>
    <x v="51"/>
    <x v="0"/>
    <x v="49"/>
    <x v="733"/>
    <x v="65"/>
    <x v="953"/>
    <x v="0"/>
  </r>
  <r>
    <x v="502"/>
    <x v="471"/>
    <x v="23"/>
    <x v="49"/>
    <x v="51"/>
    <x v="0"/>
    <x v="0"/>
    <x v="0"/>
    <x v="1035"/>
    <x v="954"/>
    <x v="0"/>
  </r>
  <r>
    <x v="502"/>
    <x v="471"/>
    <x v="3"/>
    <x v="56"/>
    <x v="58"/>
    <x v="641"/>
    <x v="67"/>
    <x v="731"/>
    <x v="1031"/>
    <x v="955"/>
    <x v="55"/>
  </r>
  <r>
    <x v="502"/>
    <x v="471"/>
    <x v="3"/>
    <x v="76"/>
    <x v="79"/>
    <x v="644"/>
    <x v="13"/>
    <x v="734"/>
    <x v="1036"/>
    <x v="956"/>
    <x v="0"/>
  </r>
  <r>
    <x v="502"/>
    <x v="471"/>
    <x v="30"/>
    <x v="72"/>
    <x v="73"/>
    <x v="0"/>
    <x v="0"/>
    <x v="0"/>
    <x v="379"/>
    <x v="957"/>
    <x v="0"/>
  </r>
  <r>
    <x v="502"/>
    <x v="471"/>
    <x v="2"/>
    <x v="22"/>
    <x v="22"/>
    <x v="645"/>
    <x v="67"/>
    <x v="735"/>
    <x v="1037"/>
    <x v="589"/>
    <x v="75"/>
  </r>
  <r>
    <x v="503"/>
    <x v="472"/>
    <x v="24"/>
    <x v="49"/>
    <x v="51"/>
    <x v="0"/>
    <x v="178"/>
    <x v="0"/>
    <x v="1038"/>
    <x v="695"/>
    <x v="0"/>
  </r>
  <r>
    <x v="503"/>
    <x v="472"/>
    <x v="3"/>
    <x v="22"/>
    <x v="22"/>
    <x v="646"/>
    <x v="67"/>
    <x v="736"/>
    <x v="1039"/>
    <x v="958"/>
    <x v="0"/>
  </r>
  <r>
    <x v="503"/>
    <x v="472"/>
    <x v="2"/>
    <x v="62"/>
    <x v="65"/>
    <x v="647"/>
    <x v="13"/>
    <x v="737"/>
    <x v="1040"/>
    <x v="959"/>
    <x v="19"/>
  </r>
  <r>
    <x v="503"/>
    <x v="472"/>
    <x v="2"/>
    <x v="78"/>
    <x v="80"/>
    <x v="648"/>
    <x v="26"/>
    <x v="679"/>
    <x v="1041"/>
    <x v="589"/>
    <x v="19"/>
  </r>
  <r>
    <x v="504"/>
    <x v="473"/>
    <x v="24"/>
    <x v="49"/>
    <x v="51"/>
    <x v="0"/>
    <x v="179"/>
    <x v="0"/>
    <x v="1042"/>
    <x v="960"/>
    <x v="0"/>
  </r>
  <r>
    <x v="504"/>
    <x v="473"/>
    <x v="3"/>
    <x v="78"/>
    <x v="80"/>
    <x v="649"/>
    <x v="26"/>
    <x v="738"/>
    <x v="1043"/>
    <x v="791"/>
    <x v="0"/>
  </r>
  <r>
    <x v="504"/>
    <x v="473"/>
    <x v="2"/>
    <x v="62"/>
    <x v="65"/>
    <x v="635"/>
    <x v="13"/>
    <x v="624"/>
    <x v="827"/>
    <x v="589"/>
    <x v="20"/>
  </r>
  <r>
    <x v="505"/>
    <x v="474"/>
    <x v="23"/>
    <x v="49"/>
    <x v="51"/>
    <x v="0"/>
    <x v="0"/>
    <x v="0"/>
    <x v="1044"/>
    <x v="961"/>
    <x v="0"/>
  </r>
  <r>
    <x v="505"/>
    <x v="474"/>
    <x v="2"/>
    <x v="22"/>
    <x v="22"/>
    <x v="650"/>
    <x v="31"/>
    <x v="739"/>
    <x v="1045"/>
    <x v="962"/>
    <x v="35"/>
  </r>
  <r>
    <x v="505"/>
    <x v="474"/>
    <x v="3"/>
    <x v="62"/>
    <x v="65"/>
    <x v="651"/>
    <x v="13"/>
    <x v="740"/>
    <x v="1046"/>
    <x v="963"/>
    <x v="19"/>
  </r>
  <r>
    <x v="505"/>
    <x v="474"/>
    <x v="3"/>
    <x v="37"/>
    <x v="38"/>
    <x v="652"/>
    <x v="26"/>
    <x v="741"/>
    <x v="1047"/>
    <x v="964"/>
    <x v="0"/>
  </r>
  <r>
    <x v="505"/>
    <x v="474"/>
    <x v="2"/>
    <x v="62"/>
    <x v="65"/>
    <x v="653"/>
    <x v="13"/>
    <x v="622"/>
    <x v="1048"/>
    <x v="965"/>
    <x v="20"/>
  </r>
  <r>
    <x v="505"/>
    <x v="474"/>
    <x v="3"/>
    <x v="62"/>
    <x v="65"/>
    <x v="653"/>
    <x v="26"/>
    <x v="742"/>
    <x v="1049"/>
    <x v="966"/>
    <x v="11"/>
  </r>
  <r>
    <x v="505"/>
    <x v="474"/>
    <x v="2"/>
    <x v="62"/>
    <x v="65"/>
    <x v="654"/>
    <x v="13"/>
    <x v="448"/>
    <x v="1050"/>
    <x v="932"/>
    <x v="19"/>
  </r>
  <r>
    <x v="506"/>
    <x v="475"/>
    <x v="24"/>
    <x v="49"/>
    <x v="51"/>
    <x v="0"/>
    <x v="180"/>
    <x v="0"/>
    <x v="1051"/>
    <x v="967"/>
    <x v="0"/>
  </r>
  <r>
    <x v="506"/>
    <x v="475"/>
    <x v="3"/>
    <x v="22"/>
    <x v="22"/>
    <x v="655"/>
    <x v="31"/>
    <x v="743"/>
    <x v="1052"/>
    <x v="968"/>
    <x v="0"/>
  </r>
  <r>
    <x v="506"/>
    <x v="475"/>
    <x v="2"/>
    <x v="78"/>
    <x v="80"/>
    <x v="656"/>
    <x v="26"/>
    <x v="586"/>
    <x v="761"/>
    <x v="589"/>
    <x v="19"/>
  </r>
  <r>
    <x v="507"/>
    <x v="476"/>
    <x v="24"/>
    <x v="49"/>
    <x v="51"/>
    <x v="0"/>
    <x v="181"/>
    <x v="0"/>
    <x v="1053"/>
    <x v="969"/>
    <x v="0"/>
  </r>
  <r>
    <x v="507"/>
    <x v="476"/>
    <x v="3"/>
    <x v="56"/>
    <x v="58"/>
    <x v="657"/>
    <x v="67"/>
    <x v="744"/>
    <x v="1054"/>
    <x v="970"/>
    <x v="75"/>
  </r>
  <r>
    <x v="507"/>
    <x v="476"/>
    <x v="2"/>
    <x v="22"/>
    <x v="22"/>
    <x v="658"/>
    <x v="67"/>
    <x v="745"/>
    <x v="1055"/>
    <x v="971"/>
    <x v="75"/>
  </r>
  <r>
    <x v="507"/>
    <x v="476"/>
    <x v="2"/>
    <x v="56"/>
    <x v="58"/>
    <x v="659"/>
    <x v="67"/>
    <x v="155"/>
    <x v="1056"/>
    <x v="972"/>
    <x v="55"/>
  </r>
  <r>
    <x v="507"/>
    <x v="476"/>
    <x v="3"/>
    <x v="78"/>
    <x v="80"/>
    <x v="660"/>
    <x v="26"/>
    <x v="746"/>
    <x v="1057"/>
    <x v="973"/>
    <x v="0"/>
  </r>
  <r>
    <x v="507"/>
    <x v="476"/>
    <x v="2"/>
    <x v="22"/>
    <x v="22"/>
    <x v="661"/>
    <x v="182"/>
    <x v="747"/>
    <x v="1058"/>
    <x v="974"/>
    <x v="124"/>
  </r>
  <r>
    <x v="507"/>
    <x v="476"/>
    <x v="2"/>
    <x v="22"/>
    <x v="22"/>
    <x v="662"/>
    <x v="67"/>
    <x v="748"/>
    <x v="1059"/>
    <x v="975"/>
    <x v="125"/>
  </r>
  <r>
    <x v="507"/>
    <x v="476"/>
    <x v="3"/>
    <x v="62"/>
    <x v="65"/>
    <x v="663"/>
    <x v="26"/>
    <x v="749"/>
    <x v="1060"/>
    <x v="976"/>
    <x v="0"/>
  </r>
  <r>
    <x v="507"/>
    <x v="476"/>
    <x v="2"/>
    <x v="62"/>
    <x v="65"/>
    <x v="664"/>
    <x v="13"/>
    <x v="750"/>
    <x v="1061"/>
    <x v="977"/>
    <x v="11"/>
  </r>
  <r>
    <x v="507"/>
    <x v="476"/>
    <x v="2"/>
    <x v="78"/>
    <x v="80"/>
    <x v="665"/>
    <x v="26"/>
    <x v="751"/>
    <x v="1062"/>
    <x v="978"/>
    <x v="19"/>
  </r>
  <r>
    <x v="508"/>
    <x v="477"/>
    <x v="23"/>
    <x v="49"/>
    <x v="51"/>
    <x v="0"/>
    <x v="0"/>
    <x v="0"/>
    <x v="1063"/>
    <x v="979"/>
    <x v="0"/>
  </r>
  <r>
    <x v="508"/>
    <x v="477"/>
    <x v="3"/>
    <x v="22"/>
    <x v="22"/>
    <x v="666"/>
    <x v="183"/>
    <x v="752"/>
    <x v="1064"/>
    <x v="980"/>
    <x v="71"/>
  </r>
  <r>
    <x v="508"/>
    <x v="477"/>
    <x v="3"/>
    <x v="56"/>
    <x v="58"/>
    <x v="667"/>
    <x v="67"/>
    <x v="753"/>
    <x v="1065"/>
    <x v="981"/>
    <x v="75"/>
  </r>
  <r>
    <x v="508"/>
    <x v="477"/>
    <x v="2"/>
    <x v="56"/>
    <x v="58"/>
    <x v="668"/>
    <x v="67"/>
    <x v="754"/>
    <x v="1066"/>
    <x v="982"/>
    <x v="55"/>
  </r>
  <r>
    <x v="508"/>
    <x v="477"/>
    <x v="2"/>
    <x v="56"/>
    <x v="58"/>
    <x v="669"/>
    <x v="67"/>
    <x v="755"/>
    <x v="1067"/>
    <x v="983"/>
    <x v="72"/>
  </r>
  <r>
    <x v="508"/>
    <x v="477"/>
    <x v="2"/>
    <x v="56"/>
    <x v="58"/>
    <x v="658"/>
    <x v="67"/>
    <x v="756"/>
    <x v="1068"/>
    <x v="984"/>
    <x v="126"/>
  </r>
  <r>
    <x v="508"/>
    <x v="477"/>
    <x v="3"/>
    <x v="22"/>
    <x v="22"/>
    <x v="639"/>
    <x v="31"/>
    <x v="757"/>
    <x v="1069"/>
    <x v="985"/>
    <x v="75"/>
  </r>
  <r>
    <x v="508"/>
    <x v="477"/>
    <x v="3"/>
    <x v="62"/>
    <x v="65"/>
    <x v="670"/>
    <x v="13"/>
    <x v="758"/>
    <x v="1070"/>
    <x v="986"/>
    <x v="0"/>
  </r>
  <r>
    <x v="508"/>
    <x v="477"/>
    <x v="3"/>
    <x v="22"/>
    <x v="22"/>
    <x v="579"/>
    <x v="67"/>
    <x v="675"/>
    <x v="926"/>
    <x v="987"/>
    <x v="0"/>
  </r>
  <r>
    <x v="508"/>
    <x v="477"/>
    <x v="3"/>
    <x v="56"/>
    <x v="58"/>
    <x v="671"/>
    <x v="67"/>
    <x v="759"/>
    <x v="1071"/>
    <x v="988"/>
    <x v="72"/>
  </r>
  <r>
    <x v="508"/>
    <x v="477"/>
    <x v="2"/>
    <x v="62"/>
    <x v="65"/>
    <x v="672"/>
    <x v="3"/>
    <x v="760"/>
    <x v="1072"/>
    <x v="589"/>
    <x v="3"/>
  </r>
  <r>
    <x v="509"/>
    <x v="478"/>
    <x v="24"/>
    <x v="49"/>
    <x v="51"/>
    <x v="0"/>
    <x v="184"/>
    <x v="0"/>
    <x v="1073"/>
    <x v="989"/>
    <x v="0"/>
  </r>
  <r>
    <x v="509"/>
    <x v="478"/>
    <x v="2"/>
    <x v="56"/>
    <x v="58"/>
    <x v="673"/>
    <x v="67"/>
    <x v="761"/>
    <x v="1074"/>
    <x v="990"/>
    <x v="126"/>
  </r>
  <r>
    <x v="509"/>
    <x v="478"/>
    <x v="2"/>
    <x v="22"/>
    <x v="22"/>
    <x v="573"/>
    <x v="67"/>
    <x v="669"/>
    <x v="917"/>
    <x v="991"/>
    <x v="75"/>
  </r>
  <r>
    <x v="509"/>
    <x v="478"/>
    <x v="3"/>
    <x v="56"/>
    <x v="58"/>
    <x v="674"/>
    <x v="67"/>
    <x v="762"/>
    <x v="1075"/>
    <x v="589"/>
    <x v="72"/>
  </r>
  <r>
    <x v="510"/>
    <x v="479"/>
    <x v="23"/>
    <x v="49"/>
    <x v="51"/>
    <x v="0"/>
    <x v="0"/>
    <x v="0"/>
    <x v="1076"/>
    <x v="992"/>
    <x v="0"/>
  </r>
  <r>
    <x v="510"/>
    <x v="479"/>
    <x v="3"/>
    <x v="56"/>
    <x v="58"/>
    <x v="675"/>
    <x v="67"/>
    <x v="763"/>
    <x v="1077"/>
    <x v="993"/>
    <x v="55"/>
  </r>
  <r>
    <x v="510"/>
    <x v="479"/>
    <x v="3"/>
    <x v="22"/>
    <x v="22"/>
    <x v="676"/>
    <x v="67"/>
    <x v="764"/>
    <x v="1078"/>
    <x v="994"/>
    <x v="0"/>
  </r>
  <r>
    <x v="510"/>
    <x v="479"/>
    <x v="3"/>
    <x v="51"/>
    <x v="53"/>
    <x v="677"/>
    <x v="17"/>
    <x v="765"/>
    <x v="1079"/>
    <x v="995"/>
    <x v="110"/>
  </r>
  <r>
    <x v="510"/>
    <x v="479"/>
    <x v="3"/>
    <x v="78"/>
    <x v="80"/>
    <x v="678"/>
    <x v="26"/>
    <x v="766"/>
    <x v="1080"/>
    <x v="996"/>
    <x v="0"/>
  </r>
  <r>
    <x v="510"/>
    <x v="479"/>
    <x v="3"/>
    <x v="56"/>
    <x v="58"/>
    <x v="679"/>
    <x v="49"/>
    <x v="767"/>
    <x v="1081"/>
    <x v="997"/>
    <x v="0"/>
  </r>
  <r>
    <x v="510"/>
    <x v="479"/>
    <x v="2"/>
    <x v="22"/>
    <x v="22"/>
    <x v="680"/>
    <x v="49"/>
    <x v="768"/>
    <x v="1082"/>
    <x v="998"/>
    <x v="55"/>
  </r>
  <r>
    <x v="510"/>
    <x v="479"/>
    <x v="3"/>
    <x v="62"/>
    <x v="65"/>
    <x v="681"/>
    <x v="3"/>
    <x v="142"/>
    <x v="1083"/>
    <x v="999"/>
    <x v="0"/>
  </r>
  <r>
    <x v="510"/>
    <x v="479"/>
    <x v="2"/>
    <x v="56"/>
    <x v="58"/>
    <x v="682"/>
    <x v="67"/>
    <x v="769"/>
    <x v="1084"/>
    <x v="932"/>
    <x v="75"/>
  </r>
  <r>
    <x v="511"/>
    <x v="480"/>
    <x v="24"/>
    <x v="49"/>
    <x v="51"/>
    <x v="0"/>
    <x v="185"/>
    <x v="0"/>
    <x v="1085"/>
    <x v="1000"/>
    <x v="0"/>
  </r>
  <r>
    <x v="512"/>
    <x v="97"/>
    <x v="9"/>
    <x v="51"/>
    <x v="53"/>
    <x v="0"/>
    <x v="0"/>
    <x v="0"/>
    <x v="1086"/>
    <x v="0"/>
    <x v="0"/>
  </r>
  <r>
    <x v="512"/>
    <x v="481"/>
    <x v="23"/>
    <x v="49"/>
    <x v="51"/>
    <x v="0"/>
    <x v="0"/>
    <x v="0"/>
    <x v="1087"/>
    <x v="1001"/>
    <x v="0"/>
  </r>
  <r>
    <x v="512"/>
    <x v="481"/>
    <x v="3"/>
    <x v="22"/>
    <x v="22"/>
    <x v="683"/>
    <x v="67"/>
    <x v="770"/>
    <x v="1088"/>
    <x v="1002"/>
    <x v="75"/>
  </r>
  <r>
    <x v="512"/>
    <x v="481"/>
    <x v="2"/>
    <x v="56"/>
    <x v="58"/>
    <x v="492"/>
    <x v="67"/>
    <x v="771"/>
    <x v="1089"/>
    <x v="1003"/>
    <x v="55"/>
  </r>
  <r>
    <x v="512"/>
    <x v="481"/>
    <x v="3"/>
    <x v="22"/>
    <x v="22"/>
    <x v="511"/>
    <x v="67"/>
    <x v="609"/>
    <x v="1090"/>
    <x v="1004"/>
    <x v="0"/>
  </r>
  <r>
    <x v="512"/>
    <x v="481"/>
    <x v="2"/>
    <x v="62"/>
    <x v="65"/>
    <x v="684"/>
    <x v="13"/>
    <x v="772"/>
    <x v="1091"/>
    <x v="1005"/>
    <x v="11"/>
  </r>
  <r>
    <x v="512"/>
    <x v="481"/>
    <x v="3"/>
    <x v="56"/>
    <x v="58"/>
    <x v="506"/>
    <x v="67"/>
    <x v="773"/>
    <x v="1092"/>
    <x v="589"/>
    <x v="75"/>
  </r>
  <r>
    <x v="513"/>
    <x v="482"/>
    <x v="23"/>
    <x v="49"/>
    <x v="51"/>
    <x v="0"/>
    <x v="0"/>
    <x v="0"/>
    <x v="1093"/>
    <x v="1006"/>
    <x v="0"/>
  </r>
  <r>
    <x v="513"/>
    <x v="482"/>
    <x v="3"/>
    <x v="62"/>
    <x v="65"/>
    <x v="685"/>
    <x v="13"/>
    <x v="774"/>
    <x v="1094"/>
    <x v="1007"/>
    <x v="0"/>
  </r>
  <r>
    <x v="513"/>
    <x v="482"/>
    <x v="3"/>
    <x v="56"/>
    <x v="58"/>
    <x v="658"/>
    <x v="67"/>
    <x v="756"/>
    <x v="1095"/>
    <x v="1008"/>
    <x v="0"/>
  </r>
  <r>
    <x v="513"/>
    <x v="482"/>
    <x v="2"/>
    <x v="62"/>
    <x v="65"/>
    <x v="686"/>
    <x v="3"/>
    <x v="775"/>
    <x v="1096"/>
    <x v="589"/>
    <x v="3"/>
  </r>
  <r>
    <x v="514"/>
    <x v="483"/>
    <x v="5"/>
    <x v="1"/>
    <x v="1"/>
    <x v="0"/>
    <x v="0"/>
    <x v="0"/>
    <x v="1097"/>
    <x v="1009"/>
    <x v="0"/>
  </r>
  <r>
    <x v="515"/>
    <x v="97"/>
    <x v="25"/>
    <x v="49"/>
    <x v="51"/>
    <x v="0"/>
    <x v="0"/>
    <x v="776"/>
    <x v="1098"/>
    <x v="1010"/>
    <x v="0"/>
  </r>
  <r>
    <x v="516"/>
    <x v="484"/>
    <x v="24"/>
    <x v="49"/>
    <x v="51"/>
    <x v="0"/>
    <x v="186"/>
    <x v="0"/>
    <x v="1099"/>
    <x v="1011"/>
    <x v="0"/>
  </r>
  <r>
    <x v="516"/>
    <x v="484"/>
    <x v="2"/>
    <x v="51"/>
    <x v="53"/>
    <x v="311"/>
    <x v="17"/>
    <x v="777"/>
    <x v="1100"/>
    <x v="1012"/>
    <x v="123"/>
  </r>
  <r>
    <x v="516"/>
    <x v="484"/>
    <x v="3"/>
    <x v="62"/>
    <x v="65"/>
    <x v="623"/>
    <x v="3"/>
    <x v="778"/>
    <x v="1101"/>
    <x v="589"/>
    <x v="0"/>
  </r>
  <r>
    <x v="517"/>
    <x v="485"/>
    <x v="30"/>
    <x v="72"/>
    <x v="73"/>
    <x v="0"/>
    <x v="0"/>
    <x v="779"/>
    <x v="376"/>
    <x v="1013"/>
    <x v="0"/>
  </r>
  <r>
    <x v="517"/>
    <x v="485"/>
    <x v="4"/>
    <x v="1"/>
    <x v="1"/>
    <x v="0"/>
    <x v="0"/>
    <x v="0"/>
    <x v="1102"/>
    <x v="589"/>
    <x v="0"/>
  </r>
  <r>
    <x v="517"/>
    <x v="485"/>
    <x v="31"/>
    <x v="49"/>
    <x v="51"/>
    <x v="0"/>
    <x v="187"/>
    <x v="779"/>
    <x v="376"/>
    <x v="1013"/>
    <x v="0"/>
  </r>
  <r>
    <x v="517"/>
    <x v="485"/>
    <x v="30"/>
    <x v="72"/>
    <x v="73"/>
    <x v="0"/>
    <x v="0"/>
    <x v="0"/>
    <x v="1102"/>
    <x v="589"/>
    <x v="0"/>
  </r>
  <r>
    <x v="518"/>
    <x v="486"/>
    <x v="24"/>
    <x v="49"/>
    <x v="51"/>
    <x v="0"/>
    <x v="188"/>
    <x v="0"/>
    <x v="1103"/>
    <x v="1014"/>
    <x v="0"/>
  </r>
  <r>
    <x v="518"/>
    <x v="486"/>
    <x v="2"/>
    <x v="22"/>
    <x v="22"/>
    <x v="687"/>
    <x v="31"/>
    <x v="320"/>
    <x v="1104"/>
    <x v="589"/>
    <x v="35"/>
  </r>
  <r>
    <x v="519"/>
    <x v="487"/>
    <x v="23"/>
    <x v="49"/>
    <x v="51"/>
    <x v="0"/>
    <x v="0"/>
    <x v="0"/>
    <x v="1105"/>
    <x v="1015"/>
    <x v="0"/>
  </r>
  <r>
    <x v="519"/>
    <x v="487"/>
    <x v="3"/>
    <x v="22"/>
    <x v="22"/>
    <x v="451"/>
    <x v="31"/>
    <x v="538"/>
    <x v="1106"/>
    <x v="589"/>
    <x v="0"/>
  </r>
  <r>
    <x v="520"/>
    <x v="488"/>
    <x v="24"/>
    <x v="49"/>
    <x v="51"/>
    <x v="0"/>
    <x v="189"/>
    <x v="0"/>
    <x v="1107"/>
    <x v="1016"/>
    <x v="0"/>
  </r>
  <r>
    <x v="520"/>
    <x v="488"/>
    <x v="2"/>
    <x v="22"/>
    <x v="22"/>
    <x v="688"/>
    <x v="31"/>
    <x v="780"/>
    <x v="1108"/>
    <x v="589"/>
    <x v="35"/>
  </r>
  <r>
    <x v="521"/>
    <x v="489"/>
    <x v="23"/>
    <x v="49"/>
    <x v="51"/>
    <x v="0"/>
    <x v="0"/>
    <x v="0"/>
    <x v="347"/>
    <x v="1017"/>
    <x v="0"/>
  </r>
  <r>
    <x v="521"/>
    <x v="489"/>
    <x v="3"/>
    <x v="22"/>
    <x v="22"/>
    <x v="689"/>
    <x v="31"/>
    <x v="781"/>
    <x v="1109"/>
    <x v="589"/>
    <x v="0"/>
  </r>
  <r>
    <x v="522"/>
    <x v="490"/>
    <x v="24"/>
    <x v="49"/>
    <x v="51"/>
    <x v="0"/>
    <x v="190"/>
    <x v="0"/>
    <x v="1110"/>
    <x v="1018"/>
    <x v="0"/>
  </r>
  <r>
    <x v="522"/>
    <x v="490"/>
    <x v="2"/>
    <x v="51"/>
    <x v="53"/>
    <x v="690"/>
    <x v="17"/>
    <x v="782"/>
    <x v="1111"/>
    <x v="589"/>
    <x v="113"/>
  </r>
  <r>
    <x v="523"/>
    <x v="491"/>
    <x v="1"/>
    <x v="1"/>
    <x v="1"/>
    <x v="0"/>
    <x v="0"/>
    <x v="0"/>
    <x v="1112"/>
    <x v="1019"/>
    <x v="0"/>
  </r>
  <r>
    <x v="523"/>
    <x v="491"/>
    <x v="24"/>
    <x v="49"/>
    <x v="51"/>
    <x v="0"/>
    <x v="191"/>
    <x v="0"/>
    <x v="1113"/>
    <x v="1020"/>
    <x v="0"/>
  </r>
  <r>
    <x v="523"/>
    <x v="491"/>
    <x v="2"/>
    <x v="16"/>
    <x v="16"/>
    <x v="691"/>
    <x v="22"/>
    <x v="783"/>
    <x v="1114"/>
    <x v="1021"/>
    <x v="26"/>
  </r>
  <r>
    <x v="524"/>
    <x v="491"/>
    <x v="11"/>
    <x v="20"/>
    <x v="20"/>
    <x v="0"/>
    <x v="22"/>
    <x v="0"/>
    <x v="0"/>
    <x v="1021"/>
    <x v="0"/>
  </r>
  <r>
    <x v="524"/>
    <x v="491"/>
    <x v="10"/>
    <x v="16"/>
    <x v="16"/>
    <x v="0"/>
    <x v="0"/>
    <x v="784"/>
    <x v="1115"/>
    <x v="1022"/>
    <x v="0"/>
  </r>
  <r>
    <x v="525"/>
    <x v="492"/>
    <x v="4"/>
    <x v="1"/>
    <x v="1"/>
    <x v="0"/>
    <x v="0"/>
    <x v="0"/>
    <x v="1116"/>
    <x v="1023"/>
    <x v="0"/>
  </r>
  <r>
    <x v="525"/>
    <x v="492"/>
    <x v="23"/>
    <x v="49"/>
    <x v="51"/>
    <x v="0"/>
    <x v="0"/>
    <x v="0"/>
    <x v="1117"/>
    <x v="0"/>
    <x v="0"/>
  </r>
  <r>
    <x v="526"/>
    <x v="493"/>
    <x v="24"/>
    <x v="49"/>
    <x v="51"/>
    <x v="0"/>
    <x v="192"/>
    <x v="0"/>
    <x v="1118"/>
    <x v="1024"/>
    <x v="0"/>
  </r>
  <r>
    <x v="527"/>
    <x v="494"/>
    <x v="2"/>
    <x v="51"/>
    <x v="53"/>
    <x v="692"/>
    <x v="17"/>
    <x v="785"/>
    <x v="1119"/>
    <x v="589"/>
    <x v="127"/>
  </r>
  <r>
    <x v="528"/>
    <x v="495"/>
    <x v="24"/>
    <x v="49"/>
    <x v="51"/>
    <x v="0"/>
    <x v="193"/>
    <x v="0"/>
    <x v="1120"/>
    <x v="1025"/>
    <x v="0"/>
  </r>
  <r>
    <x v="528"/>
    <x v="495"/>
    <x v="2"/>
    <x v="62"/>
    <x v="65"/>
    <x v="693"/>
    <x v="3"/>
    <x v="781"/>
    <x v="1121"/>
    <x v="1026"/>
    <x v="3"/>
  </r>
  <r>
    <x v="528"/>
    <x v="495"/>
    <x v="2"/>
    <x v="56"/>
    <x v="58"/>
    <x v="694"/>
    <x v="67"/>
    <x v="786"/>
    <x v="1122"/>
    <x v="589"/>
    <x v="75"/>
  </r>
  <r>
    <x v="529"/>
    <x v="496"/>
    <x v="24"/>
    <x v="49"/>
    <x v="51"/>
    <x v="0"/>
    <x v="194"/>
    <x v="0"/>
    <x v="1123"/>
    <x v="1027"/>
    <x v="0"/>
  </r>
  <r>
    <x v="529"/>
    <x v="496"/>
    <x v="3"/>
    <x v="56"/>
    <x v="58"/>
    <x v="695"/>
    <x v="67"/>
    <x v="787"/>
    <x v="1124"/>
    <x v="1028"/>
    <x v="0"/>
  </r>
  <r>
    <x v="529"/>
    <x v="496"/>
    <x v="2"/>
    <x v="51"/>
    <x v="53"/>
    <x v="696"/>
    <x v="195"/>
    <x v="788"/>
    <x v="1125"/>
    <x v="1029"/>
    <x v="128"/>
  </r>
  <r>
    <x v="530"/>
    <x v="497"/>
    <x v="23"/>
    <x v="49"/>
    <x v="51"/>
    <x v="0"/>
    <x v="0"/>
    <x v="0"/>
    <x v="1126"/>
    <x v="1030"/>
    <x v="0"/>
  </r>
  <r>
    <x v="530"/>
    <x v="497"/>
    <x v="3"/>
    <x v="62"/>
    <x v="65"/>
    <x v="697"/>
    <x v="3"/>
    <x v="789"/>
    <x v="1127"/>
    <x v="589"/>
    <x v="0"/>
  </r>
  <r>
    <x v="531"/>
    <x v="498"/>
    <x v="24"/>
    <x v="49"/>
    <x v="51"/>
    <x v="0"/>
    <x v="196"/>
    <x v="0"/>
    <x v="1128"/>
    <x v="1031"/>
    <x v="0"/>
  </r>
  <r>
    <x v="531"/>
    <x v="498"/>
    <x v="2"/>
    <x v="56"/>
    <x v="58"/>
    <x v="571"/>
    <x v="31"/>
    <x v="790"/>
    <x v="1129"/>
    <x v="589"/>
    <x v="35"/>
  </r>
  <r>
    <x v="532"/>
    <x v="499"/>
    <x v="24"/>
    <x v="49"/>
    <x v="51"/>
    <x v="0"/>
    <x v="197"/>
    <x v="0"/>
    <x v="1130"/>
    <x v="1032"/>
    <x v="0"/>
  </r>
  <r>
    <x v="532"/>
    <x v="499"/>
    <x v="2"/>
    <x v="56"/>
    <x v="58"/>
    <x v="698"/>
    <x v="66"/>
    <x v="791"/>
    <x v="1131"/>
    <x v="1033"/>
    <x v="129"/>
  </r>
  <r>
    <x v="533"/>
    <x v="500"/>
    <x v="5"/>
    <x v="1"/>
    <x v="1"/>
    <x v="0"/>
    <x v="0"/>
    <x v="0"/>
    <x v="1132"/>
    <x v="1034"/>
    <x v="0"/>
  </r>
  <r>
    <x v="534"/>
    <x v="97"/>
    <x v="25"/>
    <x v="49"/>
    <x v="51"/>
    <x v="0"/>
    <x v="0"/>
    <x v="792"/>
    <x v="1133"/>
    <x v="1035"/>
    <x v="0"/>
  </r>
  <r>
    <x v="535"/>
    <x v="501"/>
    <x v="1"/>
    <x v="1"/>
    <x v="1"/>
    <x v="0"/>
    <x v="0"/>
    <x v="0"/>
    <x v="1134"/>
    <x v="1036"/>
    <x v="0"/>
  </r>
  <r>
    <x v="535"/>
    <x v="501"/>
    <x v="2"/>
    <x v="51"/>
    <x v="53"/>
    <x v="699"/>
    <x v="87"/>
    <x v="793"/>
    <x v="1135"/>
    <x v="1037"/>
    <x v="130"/>
  </r>
  <r>
    <x v="536"/>
    <x v="502"/>
    <x v="6"/>
    <x v="43"/>
    <x v="44"/>
    <x v="0"/>
    <x v="0"/>
    <x v="794"/>
    <x v="1136"/>
    <x v="1038"/>
    <x v="0"/>
  </r>
  <r>
    <x v="537"/>
    <x v="503"/>
    <x v="3"/>
    <x v="51"/>
    <x v="53"/>
    <x v="700"/>
    <x v="87"/>
    <x v="795"/>
    <x v="1137"/>
    <x v="1039"/>
    <x v="128"/>
  </r>
  <r>
    <x v="537"/>
    <x v="503"/>
    <x v="2"/>
    <x v="22"/>
    <x v="22"/>
    <x v="645"/>
    <x v="198"/>
    <x v="796"/>
    <x v="1138"/>
    <x v="1040"/>
    <x v="131"/>
  </r>
  <r>
    <x v="538"/>
    <x v="504"/>
    <x v="20"/>
    <x v="56"/>
    <x v="58"/>
    <x v="0"/>
    <x v="199"/>
    <x v="0"/>
    <x v="0"/>
    <x v="1040"/>
    <x v="132"/>
  </r>
  <r>
    <x v="539"/>
    <x v="505"/>
    <x v="6"/>
    <x v="51"/>
    <x v="53"/>
    <x v="0"/>
    <x v="0"/>
    <x v="797"/>
    <x v="1139"/>
    <x v="1041"/>
    <x v="0"/>
  </r>
  <r>
    <x v="540"/>
    <x v="506"/>
    <x v="23"/>
    <x v="49"/>
    <x v="51"/>
    <x v="0"/>
    <x v="0"/>
    <x v="0"/>
    <x v="1140"/>
    <x v="0"/>
    <x v="0"/>
  </r>
  <r>
    <x v="541"/>
    <x v="507"/>
    <x v="24"/>
    <x v="49"/>
    <x v="51"/>
    <x v="0"/>
    <x v="200"/>
    <x v="0"/>
    <x v="1141"/>
    <x v="1041"/>
    <x v="0"/>
  </r>
  <r>
    <x v="541"/>
    <x v="507"/>
    <x v="2"/>
    <x v="43"/>
    <x v="44"/>
    <x v="701"/>
    <x v="13"/>
    <x v="757"/>
    <x v="1142"/>
    <x v="1042"/>
    <x v="73"/>
  </r>
  <r>
    <x v="542"/>
    <x v="508"/>
    <x v="12"/>
    <x v="51"/>
    <x v="53"/>
    <x v="0"/>
    <x v="201"/>
    <x v="0"/>
    <x v="0"/>
    <x v="1042"/>
    <x v="0"/>
  </r>
  <r>
    <x v="543"/>
    <x v="509"/>
    <x v="23"/>
    <x v="49"/>
    <x v="51"/>
    <x v="0"/>
    <x v="0"/>
    <x v="0"/>
    <x v="1143"/>
    <x v="1043"/>
    <x v="0"/>
  </r>
  <r>
    <x v="543"/>
    <x v="509"/>
    <x v="3"/>
    <x v="43"/>
    <x v="44"/>
    <x v="696"/>
    <x v="13"/>
    <x v="798"/>
    <x v="1144"/>
    <x v="589"/>
    <x v="34"/>
  </r>
  <r>
    <x v="544"/>
    <x v="510"/>
    <x v="30"/>
    <x v="72"/>
    <x v="73"/>
    <x v="0"/>
    <x v="0"/>
    <x v="45"/>
    <x v="1145"/>
    <x v="1044"/>
    <x v="0"/>
  </r>
  <r>
    <x v="544"/>
    <x v="510"/>
    <x v="4"/>
    <x v="1"/>
    <x v="1"/>
    <x v="0"/>
    <x v="0"/>
    <x v="0"/>
    <x v="1146"/>
    <x v="589"/>
    <x v="0"/>
  </r>
  <r>
    <x v="544"/>
    <x v="510"/>
    <x v="31"/>
    <x v="49"/>
    <x v="51"/>
    <x v="0"/>
    <x v="66"/>
    <x v="45"/>
    <x v="1145"/>
    <x v="1044"/>
    <x v="0"/>
  </r>
  <r>
    <x v="544"/>
    <x v="510"/>
    <x v="30"/>
    <x v="72"/>
    <x v="73"/>
    <x v="0"/>
    <x v="0"/>
    <x v="0"/>
    <x v="1146"/>
    <x v="589"/>
    <x v="0"/>
  </r>
  <r>
    <x v="545"/>
    <x v="511"/>
    <x v="5"/>
    <x v="1"/>
    <x v="1"/>
    <x v="0"/>
    <x v="0"/>
    <x v="0"/>
    <x v="31"/>
    <x v="1045"/>
    <x v="0"/>
  </r>
  <r>
    <x v="546"/>
    <x v="97"/>
    <x v="25"/>
    <x v="49"/>
    <x v="51"/>
    <x v="0"/>
    <x v="0"/>
    <x v="799"/>
    <x v="1147"/>
    <x v="1046"/>
    <x v="0"/>
  </r>
  <r>
    <x v="547"/>
    <x v="512"/>
    <x v="20"/>
    <x v="23"/>
    <x v="26"/>
    <x v="0"/>
    <x v="202"/>
    <x v="0"/>
    <x v="0"/>
    <x v="1046"/>
    <x v="133"/>
  </r>
  <r>
    <x v="547"/>
    <x v="512"/>
    <x v="20"/>
    <x v="22"/>
    <x v="22"/>
    <x v="0"/>
    <x v="203"/>
    <x v="0"/>
    <x v="0"/>
    <x v="1046"/>
    <x v="134"/>
  </r>
  <r>
    <x v="548"/>
    <x v="513"/>
    <x v="32"/>
    <x v="70"/>
    <x v="81"/>
    <x v="0"/>
    <x v="0"/>
    <x v="800"/>
    <x v="1148"/>
    <x v="1047"/>
    <x v="0"/>
  </r>
  <r>
    <x v="548"/>
    <x v="513"/>
    <x v="33"/>
    <x v="70"/>
    <x v="81"/>
    <x v="0"/>
    <x v="0"/>
    <x v="801"/>
    <x v="1149"/>
    <x v="1048"/>
    <x v="0"/>
  </r>
  <r>
    <x v="549"/>
    <x v="514"/>
    <x v="21"/>
    <x v="23"/>
    <x v="26"/>
    <x v="0"/>
    <x v="204"/>
    <x v="0"/>
    <x v="0"/>
    <x v="1048"/>
    <x v="135"/>
  </r>
  <r>
    <x v="550"/>
    <x v="515"/>
    <x v="5"/>
    <x v="1"/>
    <x v="1"/>
    <x v="0"/>
    <x v="0"/>
    <x v="0"/>
    <x v="32"/>
    <x v="1049"/>
    <x v="0"/>
  </r>
  <r>
    <x v="551"/>
    <x v="97"/>
    <x v="25"/>
    <x v="49"/>
    <x v="51"/>
    <x v="0"/>
    <x v="0"/>
    <x v="802"/>
    <x v="1150"/>
    <x v="1050"/>
    <x v="0"/>
  </r>
  <r>
    <x v="552"/>
    <x v="516"/>
    <x v="1"/>
    <x v="1"/>
    <x v="1"/>
    <x v="0"/>
    <x v="0"/>
    <x v="0"/>
    <x v="40"/>
    <x v="1051"/>
    <x v="0"/>
  </r>
  <r>
    <x v="552"/>
    <x v="517"/>
    <x v="26"/>
    <x v="79"/>
    <x v="82"/>
    <x v="702"/>
    <x v="3"/>
    <x v="803"/>
    <x v="1151"/>
    <x v="1052"/>
    <x v="0"/>
  </r>
  <r>
    <x v="553"/>
    <x v="517"/>
    <x v="27"/>
    <x v="79"/>
    <x v="82"/>
    <x v="702"/>
    <x v="3"/>
    <x v="803"/>
    <x v="0"/>
    <x v="1052"/>
    <x v="3"/>
  </r>
  <r>
    <x v="554"/>
    <x v="517"/>
    <x v="34"/>
    <x v="79"/>
    <x v="82"/>
    <x v="702"/>
    <x v="3"/>
    <x v="803"/>
    <x v="0"/>
    <x v="1052"/>
    <x v="0"/>
  </r>
  <r>
    <x v="554"/>
    <x v="517"/>
    <x v="28"/>
    <x v="79"/>
    <x v="82"/>
    <x v="702"/>
    <x v="3"/>
    <x v="0"/>
    <x v="0"/>
    <x v="1052"/>
    <x v="3"/>
  </r>
  <r>
    <x v="555"/>
    <x v="518"/>
    <x v="5"/>
    <x v="1"/>
    <x v="1"/>
    <x v="0"/>
    <x v="0"/>
    <x v="0"/>
    <x v="32"/>
    <x v="1053"/>
    <x v="0"/>
  </r>
  <r>
    <x v="556"/>
    <x v="97"/>
    <x v="25"/>
    <x v="49"/>
    <x v="51"/>
    <x v="0"/>
    <x v="0"/>
    <x v="804"/>
    <x v="1152"/>
    <x v="1054"/>
    <x v="0"/>
  </r>
  <r>
    <x v="557"/>
    <x v="519"/>
    <x v="23"/>
    <x v="49"/>
    <x v="51"/>
    <x v="0"/>
    <x v="0"/>
    <x v="0"/>
    <x v="1153"/>
    <x v="1055"/>
    <x v="0"/>
  </r>
  <r>
    <x v="557"/>
    <x v="519"/>
    <x v="3"/>
    <x v="79"/>
    <x v="82"/>
    <x v="703"/>
    <x v="3"/>
    <x v="805"/>
    <x v="1154"/>
    <x v="589"/>
    <x v="0"/>
  </r>
  <r>
    <x v="558"/>
    <x v="520"/>
    <x v="24"/>
    <x v="49"/>
    <x v="51"/>
    <x v="0"/>
    <x v="205"/>
    <x v="0"/>
    <x v="1155"/>
    <x v="1056"/>
    <x v="0"/>
  </r>
  <r>
    <x v="559"/>
    <x v="521"/>
    <x v="23"/>
    <x v="49"/>
    <x v="51"/>
    <x v="0"/>
    <x v="0"/>
    <x v="0"/>
    <x v="36"/>
    <x v="0"/>
    <x v="0"/>
  </r>
  <r>
    <x v="560"/>
    <x v="522"/>
    <x v="30"/>
    <x v="72"/>
    <x v="73"/>
    <x v="0"/>
    <x v="0"/>
    <x v="806"/>
    <x v="1156"/>
    <x v="1057"/>
    <x v="0"/>
  </r>
  <r>
    <x v="560"/>
    <x v="522"/>
    <x v="4"/>
    <x v="1"/>
    <x v="1"/>
    <x v="0"/>
    <x v="0"/>
    <x v="0"/>
    <x v="1157"/>
    <x v="0"/>
    <x v="0"/>
  </r>
  <r>
    <x v="560"/>
    <x v="522"/>
    <x v="31"/>
    <x v="49"/>
    <x v="51"/>
    <x v="0"/>
    <x v="206"/>
    <x v="806"/>
    <x v="1156"/>
    <x v="1057"/>
    <x v="0"/>
  </r>
  <r>
    <x v="560"/>
    <x v="522"/>
    <x v="30"/>
    <x v="72"/>
    <x v="73"/>
    <x v="0"/>
    <x v="0"/>
    <x v="0"/>
    <x v="1157"/>
    <x v="0"/>
    <x v="0"/>
  </r>
  <r>
    <x v="561"/>
    <x v="523"/>
    <x v="5"/>
    <x v="1"/>
    <x v="1"/>
    <x v="0"/>
    <x v="0"/>
    <x v="0"/>
    <x v="654"/>
    <x v="1058"/>
    <x v="0"/>
  </r>
  <r>
    <x v="562"/>
    <x v="97"/>
    <x v="25"/>
    <x v="49"/>
    <x v="51"/>
    <x v="0"/>
    <x v="0"/>
    <x v="807"/>
    <x v="1158"/>
    <x v="1059"/>
    <x v="0"/>
  </r>
  <r>
    <x v="563"/>
    <x v="524"/>
    <x v="6"/>
    <x v="43"/>
    <x v="44"/>
    <x v="0"/>
    <x v="0"/>
    <x v="808"/>
    <x v="273"/>
    <x v="1060"/>
    <x v="0"/>
  </r>
  <r>
    <x v="564"/>
    <x v="525"/>
    <x v="5"/>
    <x v="1"/>
    <x v="1"/>
    <x v="0"/>
    <x v="0"/>
    <x v="0"/>
    <x v="1159"/>
    <x v="1061"/>
    <x v="0"/>
  </r>
  <r>
    <x v="565"/>
    <x v="97"/>
    <x v="25"/>
    <x v="49"/>
    <x v="51"/>
    <x v="0"/>
    <x v="0"/>
    <x v="0"/>
    <x v="0"/>
    <x v="1061"/>
    <x v="0"/>
  </r>
  <r>
    <x v="566"/>
    <x v="526"/>
    <x v="13"/>
    <x v="16"/>
    <x v="16"/>
    <x v="380"/>
    <x v="207"/>
    <x v="809"/>
    <x v="0"/>
    <x v="1061"/>
    <x v="136"/>
  </r>
  <r>
    <x v="566"/>
    <x v="526"/>
    <x v="32"/>
    <x v="70"/>
    <x v="81"/>
    <x v="0"/>
    <x v="0"/>
    <x v="810"/>
    <x v="1160"/>
    <x v="1062"/>
    <x v="0"/>
  </r>
  <r>
    <x v="566"/>
    <x v="526"/>
    <x v="33"/>
    <x v="70"/>
    <x v="81"/>
    <x v="0"/>
    <x v="0"/>
    <x v="811"/>
    <x v="1161"/>
    <x v="1063"/>
    <x v="0"/>
  </r>
  <r>
    <x v="567"/>
    <x v="527"/>
    <x v="11"/>
    <x v="20"/>
    <x v="20"/>
    <x v="0"/>
    <x v="207"/>
    <x v="0"/>
    <x v="0"/>
    <x v="1063"/>
    <x v="0"/>
  </r>
  <r>
    <x v="567"/>
    <x v="527"/>
    <x v="10"/>
    <x v="16"/>
    <x v="16"/>
    <x v="0"/>
    <x v="0"/>
    <x v="812"/>
    <x v="1162"/>
    <x v="1064"/>
    <x v="0"/>
  </r>
  <r>
    <x v="568"/>
    <x v="528"/>
    <x v="23"/>
    <x v="49"/>
    <x v="51"/>
    <x v="0"/>
    <x v="0"/>
    <x v="0"/>
    <x v="1163"/>
    <x v="0"/>
    <x v="0"/>
  </r>
  <r>
    <x v="568"/>
    <x v="528"/>
    <x v="0"/>
    <x v="0"/>
    <x v="0"/>
    <x v="0"/>
    <x v="0"/>
    <x v="0"/>
    <x v="0"/>
    <x v="0"/>
    <x v="0"/>
  </r>
  <r>
    <x v="568"/>
    <x v="528"/>
    <x v="0"/>
    <x v="0"/>
    <x v="0"/>
    <x v="0"/>
    <x v="0"/>
    <x v="0"/>
    <x v="0"/>
    <x v="0"/>
    <x v="0"/>
  </r>
  <r>
    <x v="569"/>
    <x v="529"/>
    <x v="24"/>
    <x v="49"/>
    <x v="51"/>
    <x v="0"/>
    <x v="208"/>
    <x v="0"/>
    <x v="1164"/>
    <x v="1065"/>
    <x v="0"/>
  </r>
  <r>
    <x v="569"/>
    <x v="529"/>
    <x v="2"/>
    <x v="51"/>
    <x v="53"/>
    <x v="704"/>
    <x v="30"/>
    <x v="245"/>
    <x v="1165"/>
    <x v="589"/>
    <x v="34"/>
  </r>
  <r>
    <x v="570"/>
    <x v="530"/>
    <x v="30"/>
    <x v="72"/>
    <x v="73"/>
    <x v="0"/>
    <x v="0"/>
    <x v="813"/>
    <x v="1166"/>
    <x v="1066"/>
    <x v="0"/>
  </r>
  <r>
    <x v="570"/>
    <x v="530"/>
    <x v="4"/>
    <x v="1"/>
    <x v="1"/>
    <x v="0"/>
    <x v="0"/>
    <x v="0"/>
    <x v="1167"/>
    <x v="589"/>
    <x v="0"/>
  </r>
  <r>
    <x v="570"/>
    <x v="530"/>
    <x v="31"/>
    <x v="49"/>
    <x v="51"/>
    <x v="0"/>
    <x v="209"/>
    <x v="813"/>
    <x v="1166"/>
    <x v="1066"/>
    <x v="0"/>
  </r>
  <r>
    <x v="570"/>
    <x v="530"/>
    <x v="30"/>
    <x v="72"/>
    <x v="73"/>
    <x v="0"/>
    <x v="0"/>
    <x v="0"/>
    <x v="1167"/>
    <x v="589"/>
    <x v="0"/>
  </r>
  <r>
    <x v="571"/>
    <x v="531"/>
    <x v="21"/>
    <x v="23"/>
    <x v="26"/>
    <x v="0"/>
    <x v="185"/>
    <x v="0"/>
    <x v="0"/>
    <x v="589"/>
    <x v="137"/>
  </r>
  <r>
    <x v="572"/>
    <x v="532"/>
    <x v="5"/>
    <x v="1"/>
    <x v="1"/>
    <x v="0"/>
    <x v="0"/>
    <x v="0"/>
    <x v="1168"/>
    <x v="1067"/>
    <x v="0"/>
  </r>
  <r>
    <x v="573"/>
    <x v="97"/>
    <x v="25"/>
    <x v="49"/>
    <x v="51"/>
    <x v="0"/>
    <x v="0"/>
    <x v="814"/>
    <x v="1169"/>
    <x v="1068"/>
    <x v="0"/>
  </r>
  <r>
    <x v="574"/>
    <x v="533"/>
    <x v="2"/>
    <x v="80"/>
    <x v="83"/>
    <x v="705"/>
    <x v="210"/>
    <x v="815"/>
    <x v="1170"/>
    <x v="1069"/>
    <x v="138"/>
  </r>
  <r>
    <x v="574"/>
    <x v="533"/>
    <x v="3"/>
    <x v="51"/>
    <x v="53"/>
    <x v="706"/>
    <x v="30"/>
    <x v="816"/>
    <x v="1171"/>
    <x v="1070"/>
    <x v="0"/>
  </r>
  <r>
    <x v="575"/>
    <x v="534"/>
    <x v="12"/>
    <x v="80"/>
    <x v="83"/>
    <x v="0"/>
    <x v="210"/>
    <x v="0"/>
    <x v="0"/>
    <x v="1069"/>
    <x v="0"/>
  </r>
  <r>
    <x v="576"/>
    <x v="535"/>
    <x v="12"/>
    <x v="43"/>
    <x v="44"/>
    <x v="0"/>
    <x v="30"/>
    <x v="0"/>
    <x v="0"/>
    <x v="1069"/>
    <x v="0"/>
  </r>
  <r>
    <x v="577"/>
    <x v="536"/>
    <x v="23"/>
    <x v="49"/>
    <x v="51"/>
    <x v="0"/>
    <x v="0"/>
    <x v="0"/>
    <x v="1172"/>
    <x v="1071"/>
    <x v="0"/>
  </r>
  <r>
    <x v="577"/>
    <x v="536"/>
    <x v="1"/>
    <x v="1"/>
    <x v="1"/>
    <x v="0"/>
    <x v="0"/>
    <x v="0"/>
    <x v="1173"/>
    <x v="1072"/>
    <x v="0"/>
  </r>
  <r>
    <x v="577"/>
    <x v="536"/>
    <x v="1"/>
    <x v="1"/>
    <x v="1"/>
    <x v="0"/>
    <x v="0"/>
    <x v="0"/>
    <x v="933"/>
    <x v="1073"/>
    <x v="0"/>
  </r>
  <r>
    <x v="578"/>
    <x v="537"/>
    <x v="1"/>
    <x v="1"/>
    <x v="1"/>
    <x v="0"/>
    <x v="0"/>
    <x v="0"/>
    <x v="1173"/>
    <x v="1074"/>
    <x v="0"/>
  </r>
  <r>
    <x v="579"/>
    <x v="538"/>
    <x v="35"/>
    <x v="81"/>
    <x v="84"/>
    <x v="707"/>
    <x v="66"/>
    <x v="817"/>
    <x v="1174"/>
    <x v="1075"/>
    <x v="73"/>
  </r>
  <r>
    <x v="580"/>
    <x v="539"/>
    <x v="36"/>
    <x v="82"/>
    <x v="85"/>
    <x v="0"/>
    <x v="0"/>
    <x v="818"/>
    <x v="1175"/>
    <x v="1076"/>
    <x v="0"/>
  </r>
  <r>
    <x v="581"/>
    <x v="540"/>
    <x v="35"/>
    <x v="81"/>
    <x v="84"/>
    <x v="708"/>
    <x v="66"/>
    <x v="819"/>
    <x v="1176"/>
    <x v="1077"/>
    <x v="91"/>
  </r>
  <r>
    <x v="581"/>
    <x v="541"/>
    <x v="36"/>
    <x v="82"/>
    <x v="85"/>
    <x v="0"/>
    <x v="0"/>
    <x v="818"/>
    <x v="1175"/>
    <x v="1078"/>
    <x v="0"/>
  </r>
  <r>
    <x v="582"/>
    <x v="542"/>
    <x v="36"/>
    <x v="82"/>
    <x v="85"/>
    <x v="0"/>
    <x v="0"/>
    <x v="820"/>
    <x v="1177"/>
    <x v="1079"/>
    <x v="0"/>
  </r>
  <r>
    <x v="583"/>
    <x v="543"/>
    <x v="23"/>
    <x v="49"/>
    <x v="51"/>
    <x v="0"/>
    <x v="0"/>
    <x v="0"/>
    <x v="1178"/>
    <x v="1080"/>
    <x v="0"/>
  </r>
  <r>
    <x v="583"/>
    <x v="543"/>
    <x v="1"/>
    <x v="1"/>
    <x v="1"/>
    <x v="0"/>
    <x v="0"/>
    <x v="0"/>
    <x v="1173"/>
    <x v="1081"/>
    <x v="0"/>
  </r>
  <r>
    <x v="584"/>
    <x v="544"/>
    <x v="36"/>
    <x v="82"/>
    <x v="85"/>
    <x v="0"/>
    <x v="0"/>
    <x v="818"/>
    <x v="1175"/>
    <x v="1082"/>
    <x v="0"/>
  </r>
  <r>
    <x v="585"/>
    <x v="545"/>
    <x v="36"/>
    <x v="82"/>
    <x v="85"/>
    <x v="0"/>
    <x v="0"/>
    <x v="821"/>
    <x v="1179"/>
    <x v="1083"/>
    <x v="0"/>
  </r>
  <r>
    <x v="586"/>
    <x v="544"/>
    <x v="35"/>
    <x v="81"/>
    <x v="84"/>
    <x v="403"/>
    <x v="66"/>
    <x v="822"/>
    <x v="1180"/>
    <x v="1084"/>
    <x v="139"/>
  </r>
  <r>
    <x v="586"/>
    <x v="546"/>
    <x v="36"/>
    <x v="82"/>
    <x v="85"/>
    <x v="0"/>
    <x v="0"/>
    <x v="818"/>
    <x v="1175"/>
    <x v="1085"/>
    <x v="0"/>
  </r>
  <r>
    <x v="587"/>
    <x v="547"/>
    <x v="36"/>
    <x v="82"/>
    <x v="85"/>
    <x v="0"/>
    <x v="0"/>
    <x v="820"/>
    <x v="1177"/>
    <x v="1086"/>
    <x v="0"/>
  </r>
  <r>
    <x v="588"/>
    <x v="548"/>
    <x v="24"/>
    <x v="49"/>
    <x v="51"/>
    <x v="0"/>
    <x v="211"/>
    <x v="0"/>
    <x v="1181"/>
    <x v="1087"/>
    <x v="0"/>
  </r>
  <r>
    <x v="588"/>
    <x v="548"/>
    <x v="1"/>
    <x v="1"/>
    <x v="1"/>
    <x v="0"/>
    <x v="0"/>
    <x v="0"/>
    <x v="1173"/>
    <x v="1088"/>
    <x v="0"/>
  </r>
  <r>
    <x v="588"/>
    <x v="548"/>
    <x v="1"/>
    <x v="1"/>
    <x v="1"/>
    <x v="0"/>
    <x v="0"/>
    <x v="0"/>
    <x v="1182"/>
    <x v="1089"/>
    <x v="0"/>
  </r>
  <r>
    <x v="589"/>
    <x v="549"/>
    <x v="36"/>
    <x v="82"/>
    <x v="85"/>
    <x v="0"/>
    <x v="0"/>
    <x v="820"/>
    <x v="1177"/>
    <x v="1090"/>
    <x v="0"/>
  </r>
  <r>
    <x v="590"/>
    <x v="550"/>
    <x v="5"/>
    <x v="1"/>
    <x v="1"/>
    <x v="0"/>
    <x v="0"/>
    <x v="0"/>
    <x v="1183"/>
    <x v="1091"/>
    <x v="0"/>
  </r>
  <r>
    <x v="591"/>
    <x v="551"/>
    <x v="36"/>
    <x v="82"/>
    <x v="85"/>
    <x v="0"/>
    <x v="0"/>
    <x v="820"/>
    <x v="1177"/>
    <x v="1092"/>
    <x v="0"/>
  </r>
  <r>
    <x v="592"/>
    <x v="97"/>
    <x v="25"/>
    <x v="49"/>
    <x v="51"/>
    <x v="0"/>
    <x v="0"/>
    <x v="823"/>
    <x v="1184"/>
    <x v="1093"/>
    <x v="0"/>
  </r>
  <r>
    <x v="593"/>
    <x v="549"/>
    <x v="35"/>
    <x v="81"/>
    <x v="84"/>
    <x v="709"/>
    <x v="212"/>
    <x v="824"/>
    <x v="1185"/>
    <x v="1094"/>
    <x v="140"/>
  </r>
  <r>
    <x v="593"/>
    <x v="552"/>
    <x v="36"/>
    <x v="82"/>
    <x v="85"/>
    <x v="0"/>
    <x v="0"/>
    <x v="825"/>
    <x v="1186"/>
    <x v="1095"/>
    <x v="0"/>
  </r>
  <r>
    <x v="594"/>
    <x v="553"/>
    <x v="36"/>
    <x v="82"/>
    <x v="85"/>
    <x v="0"/>
    <x v="0"/>
    <x v="820"/>
    <x v="1177"/>
    <x v="1096"/>
    <x v="0"/>
  </r>
  <r>
    <x v="595"/>
    <x v="554"/>
    <x v="36"/>
    <x v="82"/>
    <x v="85"/>
    <x v="0"/>
    <x v="0"/>
    <x v="820"/>
    <x v="1177"/>
    <x v="1097"/>
    <x v="0"/>
  </r>
  <r>
    <x v="596"/>
    <x v="555"/>
    <x v="36"/>
    <x v="82"/>
    <x v="85"/>
    <x v="0"/>
    <x v="0"/>
    <x v="821"/>
    <x v="1179"/>
    <x v="1098"/>
    <x v="0"/>
  </r>
  <r>
    <x v="597"/>
    <x v="556"/>
    <x v="36"/>
    <x v="82"/>
    <x v="85"/>
    <x v="0"/>
    <x v="0"/>
    <x v="821"/>
    <x v="1179"/>
    <x v="1099"/>
    <x v="0"/>
  </r>
  <r>
    <x v="598"/>
    <x v="557"/>
    <x v="36"/>
    <x v="82"/>
    <x v="85"/>
    <x v="0"/>
    <x v="0"/>
    <x v="826"/>
    <x v="1187"/>
    <x v="1100"/>
    <x v="0"/>
  </r>
  <r>
    <x v="599"/>
    <x v="558"/>
    <x v="36"/>
    <x v="82"/>
    <x v="85"/>
    <x v="0"/>
    <x v="0"/>
    <x v="821"/>
    <x v="1179"/>
    <x v="1101"/>
    <x v="0"/>
  </r>
  <r>
    <x v="600"/>
    <x v="559"/>
    <x v="36"/>
    <x v="82"/>
    <x v="85"/>
    <x v="0"/>
    <x v="0"/>
    <x v="821"/>
    <x v="1179"/>
    <x v="1102"/>
    <x v="0"/>
  </r>
  <r>
    <x v="601"/>
    <x v="560"/>
    <x v="36"/>
    <x v="82"/>
    <x v="85"/>
    <x v="0"/>
    <x v="0"/>
    <x v="821"/>
    <x v="1179"/>
    <x v="1103"/>
    <x v="0"/>
  </r>
  <r>
    <x v="602"/>
    <x v="561"/>
    <x v="36"/>
    <x v="82"/>
    <x v="85"/>
    <x v="0"/>
    <x v="0"/>
    <x v="821"/>
    <x v="1179"/>
    <x v="1104"/>
    <x v="0"/>
  </r>
  <r>
    <x v="603"/>
    <x v="562"/>
    <x v="36"/>
    <x v="82"/>
    <x v="85"/>
    <x v="0"/>
    <x v="0"/>
    <x v="827"/>
    <x v="1188"/>
    <x v="1105"/>
    <x v="0"/>
  </r>
  <r>
    <x v="604"/>
    <x v="563"/>
    <x v="36"/>
    <x v="82"/>
    <x v="85"/>
    <x v="0"/>
    <x v="0"/>
    <x v="821"/>
    <x v="1179"/>
    <x v="1106"/>
    <x v="0"/>
  </r>
  <r>
    <x v="605"/>
    <x v="564"/>
    <x v="36"/>
    <x v="82"/>
    <x v="85"/>
    <x v="0"/>
    <x v="0"/>
    <x v="821"/>
    <x v="1179"/>
    <x v="1107"/>
    <x v="0"/>
  </r>
  <r>
    <x v="606"/>
    <x v="565"/>
    <x v="36"/>
    <x v="82"/>
    <x v="85"/>
    <x v="0"/>
    <x v="0"/>
    <x v="828"/>
    <x v="1189"/>
    <x v="1108"/>
    <x v="0"/>
  </r>
  <r>
    <x v="607"/>
    <x v="566"/>
    <x v="36"/>
    <x v="82"/>
    <x v="85"/>
    <x v="0"/>
    <x v="0"/>
    <x v="821"/>
    <x v="1179"/>
    <x v="1109"/>
    <x v="0"/>
  </r>
  <r>
    <x v="608"/>
    <x v="567"/>
    <x v="36"/>
    <x v="82"/>
    <x v="85"/>
    <x v="0"/>
    <x v="0"/>
    <x v="821"/>
    <x v="1179"/>
    <x v="1110"/>
    <x v="0"/>
  </r>
  <r>
    <x v="609"/>
    <x v="568"/>
    <x v="36"/>
    <x v="82"/>
    <x v="85"/>
    <x v="0"/>
    <x v="0"/>
    <x v="821"/>
    <x v="1179"/>
    <x v="1111"/>
    <x v="0"/>
  </r>
  <r>
    <x v="610"/>
    <x v="569"/>
    <x v="36"/>
    <x v="82"/>
    <x v="85"/>
    <x v="0"/>
    <x v="0"/>
    <x v="826"/>
    <x v="1187"/>
    <x v="1112"/>
    <x v="0"/>
  </r>
  <r>
    <x v="611"/>
    <x v="570"/>
    <x v="36"/>
    <x v="82"/>
    <x v="85"/>
    <x v="0"/>
    <x v="0"/>
    <x v="821"/>
    <x v="1179"/>
    <x v="1113"/>
    <x v="0"/>
  </r>
  <r>
    <x v="612"/>
    <x v="571"/>
    <x v="36"/>
    <x v="82"/>
    <x v="85"/>
    <x v="0"/>
    <x v="0"/>
    <x v="821"/>
    <x v="1179"/>
    <x v="1114"/>
    <x v="0"/>
  </r>
  <r>
    <x v="613"/>
    <x v="572"/>
    <x v="36"/>
    <x v="82"/>
    <x v="85"/>
    <x v="0"/>
    <x v="0"/>
    <x v="821"/>
    <x v="1179"/>
    <x v="1115"/>
    <x v="0"/>
  </r>
  <r>
    <x v="614"/>
    <x v="573"/>
    <x v="36"/>
    <x v="82"/>
    <x v="85"/>
    <x v="0"/>
    <x v="0"/>
    <x v="821"/>
    <x v="1179"/>
    <x v="1116"/>
    <x v="0"/>
  </r>
  <r>
    <x v="615"/>
    <x v="574"/>
    <x v="36"/>
    <x v="82"/>
    <x v="85"/>
    <x v="0"/>
    <x v="0"/>
    <x v="826"/>
    <x v="1187"/>
    <x v="1117"/>
    <x v="0"/>
  </r>
  <r>
    <x v="616"/>
    <x v="575"/>
    <x v="36"/>
    <x v="82"/>
    <x v="85"/>
    <x v="0"/>
    <x v="0"/>
    <x v="821"/>
    <x v="1179"/>
    <x v="1118"/>
    <x v="0"/>
  </r>
  <r>
    <x v="617"/>
    <x v="576"/>
    <x v="36"/>
    <x v="82"/>
    <x v="85"/>
    <x v="0"/>
    <x v="0"/>
    <x v="821"/>
    <x v="1179"/>
    <x v="1119"/>
    <x v="0"/>
  </r>
  <r>
    <x v="618"/>
    <x v="577"/>
    <x v="36"/>
    <x v="82"/>
    <x v="85"/>
    <x v="0"/>
    <x v="0"/>
    <x v="829"/>
    <x v="1190"/>
    <x v="1120"/>
    <x v="0"/>
  </r>
  <r>
    <x v="619"/>
    <x v="578"/>
    <x v="36"/>
    <x v="82"/>
    <x v="85"/>
    <x v="0"/>
    <x v="0"/>
    <x v="821"/>
    <x v="1179"/>
    <x v="1121"/>
    <x v="0"/>
  </r>
  <r>
    <x v="620"/>
    <x v="579"/>
    <x v="36"/>
    <x v="82"/>
    <x v="85"/>
    <x v="0"/>
    <x v="0"/>
    <x v="821"/>
    <x v="1179"/>
    <x v="1122"/>
    <x v="0"/>
  </r>
  <r>
    <x v="621"/>
    <x v="580"/>
    <x v="36"/>
    <x v="82"/>
    <x v="85"/>
    <x v="0"/>
    <x v="0"/>
    <x v="826"/>
    <x v="1187"/>
    <x v="1123"/>
    <x v="0"/>
  </r>
  <r>
    <x v="622"/>
    <x v="581"/>
    <x v="36"/>
    <x v="82"/>
    <x v="85"/>
    <x v="0"/>
    <x v="0"/>
    <x v="821"/>
    <x v="1179"/>
    <x v="1124"/>
    <x v="0"/>
  </r>
  <r>
    <x v="623"/>
    <x v="582"/>
    <x v="36"/>
    <x v="82"/>
    <x v="85"/>
    <x v="0"/>
    <x v="0"/>
    <x v="821"/>
    <x v="1179"/>
    <x v="1125"/>
    <x v="0"/>
  </r>
  <r>
    <x v="624"/>
    <x v="583"/>
    <x v="2"/>
    <x v="48"/>
    <x v="50"/>
    <x v="636"/>
    <x v="29"/>
    <x v="830"/>
    <x v="1191"/>
    <x v="1126"/>
    <x v="30"/>
  </r>
  <r>
    <x v="624"/>
    <x v="583"/>
    <x v="1"/>
    <x v="1"/>
    <x v="1"/>
    <x v="0"/>
    <x v="0"/>
    <x v="0"/>
    <x v="517"/>
    <x v="1127"/>
    <x v="0"/>
  </r>
  <r>
    <x v="625"/>
    <x v="584"/>
    <x v="36"/>
    <x v="82"/>
    <x v="85"/>
    <x v="0"/>
    <x v="0"/>
    <x v="821"/>
    <x v="1179"/>
    <x v="1128"/>
    <x v="0"/>
  </r>
  <r>
    <x v="626"/>
    <x v="585"/>
    <x v="36"/>
    <x v="82"/>
    <x v="85"/>
    <x v="0"/>
    <x v="0"/>
    <x v="821"/>
    <x v="1179"/>
    <x v="1129"/>
    <x v="0"/>
  </r>
  <r>
    <x v="627"/>
    <x v="586"/>
    <x v="36"/>
    <x v="82"/>
    <x v="85"/>
    <x v="0"/>
    <x v="0"/>
    <x v="826"/>
    <x v="1187"/>
    <x v="1130"/>
    <x v="0"/>
  </r>
  <r>
    <x v="628"/>
    <x v="587"/>
    <x v="36"/>
    <x v="82"/>
    <x v="85"/>
    <x v="0"/>
    <x v="0"/>
    <x v="821"/>
    <x v="1179"/>
    <x v="1131"/>
    <x v="0"/>
  </r>
  <r>
    <x v="629"/>
    <x v="588"/>
    <x v="3"/>
    <x v="70"/>
    <x v="81"/>
    <x v="710"/>
    <x v="6"/>
    <x v="831"/>
    <x v="1192"/>
    <x v="657"/>
    <x v="0"/>
  </r>
  <r>
    <x v="629"/>
    <x v="588"/>
    <x v="3"/>
    <x v="48"/>
    <x v="50"/>
    <x v="711"/>
    <x v="29"/>
    <x v="832"/>
    <x v="1193"/>
    <x v="1132"/>
    <x v="0"/>
  </r>
  <r>
    <x v="629"/>
    <x v="588"/>
    <x v="23"/>
    <x v="49"/>
    <x v="51"/>
    <x v="0"/>
    <x v="0"/>
    <x v="0"/>
    <x v="1194"/>
    <x v="1133"/>
    <x v="0"/>
  </r>
  <r>
    <x v="630"/>
    <x v="589"/>
    <x v="36"/>
    <x v="82"/>
    <x v="85"/>
    <x v="0"/>
    <x v="0"/>
    <x v="821"/>
    <x v="1179"/>
    <x v="1134"/>
    <x v="0"/>
  </r>
  <r>
    <x v="631"/>
    <x v="590"/>
    <x v="24"/>
    <x v="49"/>
    <x v="51"/>
    <x v="0"/>
    <x v="0"/>
    <x v="0"/>
    <x v="654"/>
    <x v="657"/>
    <x v="0"/>
  </r>
  <r>
    <x v="632"/>
    <x v="591"/>
    <x v="36"/>
    <x v="82"/>
    <x v="85"/>
    <x v="0"/>
    <x v="0"/>
    <x v="821"/>
    <x v="1179"/>
    <x v="1134"/>
    <x v="0"/>
  </r>
  <r>
    <x v="633"/>
    <x v="592"/>
    <x v="24"/>
    <x v="49"/>
    <x v="51"/>
    <x v="0"/>
    <x v="0"/>
    <x v="0"/>
    <x v="654"/>
    <x v="657"/>
    <x v="0"/>
  </r>
  <r>
    <x v="634"/>
    <x v="593"/>
    <x v="36"/>
    <x v="82"/>
    <x v="85"/>
    <x v="0"/>
    <x v="0"/>
    <x v="821"/>
    <x v="1179"/>
    <x v="1134"/>
    <x v="0"/>
  </r>
  <r>
    <x v="635"/>
    <x v="594"/>
    <x v="24"/>
    <x v="49"/>
    <x v="51"/>
    <x v="0"/>
    <x v="0"/>
    <x v="0"/>
    <x v="654"/>
    <x v="657"/>
    <x v="0"/>
  </r>
  <r>
    <x v="636"/>
    <x v="595"/>
    <x v="36"/>
    <x v="82"/>
    <x v="85"/>
    <x v="0"/>
    <x v="0"/>
    <x v="825"/>
    <x v="1186"/>
    <x v="1135"/>
    <x v="0"/>
  </r>
  <r>
    <x v="637"/>
    <x v="596"/>
    <x v="24"/>
    <x v="49"/>
    <x v="51"/>
    <x v="0"/>
    <x v="0"/>
    <x v="0"/>
    <x v="1195"/>
    <x v="657"/>
    <x v="0"/>
  </r>
  <r>
    <x v="638"/>
    <x v="597"/>
    <x v="36"/>
    <x v="82"/>
    <x v="85"/>
    <x v="0"/>
    <x v="0"/>
    <x v="820"/>
    <x v="1177"/>
    <x v="1136"/>
    <x v="0"/>
  </r>
  <r>
    <x v="639"/>
    <x v="598"/>
    <x v="24"/>
    <x v="49"/>
    <x v="51"/>
    <x v="0"/>
    <x v="0"/>
    <x v="0"/>
    <x v="1196"/>
    <x v="657"/>
    <x v="0"/>
  </r>
  <r>
    <x v="640"/>
    <x v="599"/>
    <x v="36"/>
    <x v="82"/>
    <x v="85"/>
    <x v="0"/>
    <x v="0"/>
    <x v="821"/>
    <x v="1179"/>
    <x v="1134"/>
    <x v="0"/>
  </r>
  <r>
    <x v="641"/>
    <x v="600"/>
    <x v="2"/>
    <x v="48"/>
    <x v="50"/>
    <x v="712"/>
    <x v="66"/>
    <x v="833"/>
    <x v="1197"/>
    <x v="1137"/>
    <x v="73"/>
  </r>
  <r>
    <x v="641"/>
    <x v="600"/>
    <x v="24"/>
    <x v="49"/>
    <x v="51"/>
    <x v="0"/>
    <x v="213"/>
    <x v="0"/>
    <x v="1198"/>
    <x v="1138"/>
    <x v="0"/>
  </r>
  <r>
    <x v="642"/>
    <x v="601"/>
    <x v="36"/>
    <x v="82"/>
    <x v="85"/>
    <x v="0"/>
    <x v="0"/>
    <x v="821"/>
    <x v="1179"/>
    <x v="1139"/>
    <x v="0"/>
  </r>
  <r>
    <x v="643"/>
    <x v="602"/>
    <x v="2"/>
    <x v="48"/>
    <x v="50"/>
    <x v="713"/>
    <x v="214"/>
    <x v="834"/>
    <x v="1199"/>
    <x v="1140"/>
    <x v="141"/>
  </r>
  <r>
    <x v="643"/>
    <x v="602"/>
    <x v="1"/>
    <x v="1"/>
    <x v="1"/>
    <x v="0"/>
    <x v="0"/>
    <x v="0"/>
    <x v="35"/>
    <x v="1141"/>
    <x v="0"/>
  </r>
  <r>
    <x v="644"/>
    <x v="603"/>
    <x v="36"/>
    <x v="82"/>
    <x v="85"/>
    <x v="0"/>
    <x v="0"/>
    <x v="821"/>
    <x v="1179"/>
    <x v="1142"/>
    <x v="0"/>
  </r>
  <r>
    <x v="645"/>
    <x v="604"/>
    <x v="3"/>
    <x v="48"/>
    <x v="50"/>
    <x v="714"/>
    <x v="215"/>
    <x v="835"/>
    <x v="1200"/>
    <x v="657"/>
    <x v="0"/>
  </r>
  <r>
    <x v="645"/>
    <x v="604"/>
    <x v="23"/>
    <x v="49"/>
    <x v="51"/>
    <x v="0"/>
    <x v="0"/>
    <x v="0"/>
    <x v="1201"/>
    <x v="1143"/>
    <x v="0"/>
  </r>
  <r>
    <x v="646"/>
    <x v="605"/>
    <x v="36"/>
    <x v="82"/>
    <x v="85"/>
    <x v="0"/>
    <x v="0"/>
    <x v="826"/>
    <x v="1187"/>
    <x v="1144"/>
    <x v="0"/>
  </r>
  <r>
    <x v="647"/>
    <x v="606"/>
    <x v="24"/>
    <x v="49"/>
    <x v="51"/>
    <x v="0"/>
    <x v="0"/>
    <x v="0"/>
    <x v="1202"/>
    <x v="657"/>
    <x v="0"/>
  </r>
  <r>
    <x v="648"/>
    <x v="607"/>
    <x v="36"/>
    <x v="82"/>
    <x v="85"/>
    <x v="0"/>
    <x v="0"/>
    <x v="820"/>
    <x v="1177"/>
    <x v="1136"/>
    <x v="0"/>
  </r>
  <r>
    <x v="649"/>
    <x v="608"/>
    <x v="24"/>
    <x v="49"/>
    <x v="51"/>
    <x v="0"/>
    <x v="0"/>
    <x v="0"/>
    <x v="1196"/>
    <x v="657"/>
    <x v="0"/>
  </r>
  <r>
    <x v="650"/>
    <x v="609"/>
    <x v="36"/>
    <x v="82"/>
    <x v="85"/>
    <x v="0"/>
    <x v="0"/>
    <x v="820"/>
    <x v="1177"/>
    <x v="1136"/>
    <x v="0"/>
  </r>
  <r>
    <x v="651"/>
    <x v="610"/>
    <x v="24"/>
    <x v="49"/>
    <x v="51"/>
    <x v="0"/>
    <x v="0"/>
    <x v="0"/>
    <x v="1196"/>
    <x v="657"/>
    <x v="0"/>
  </r>
  <r>
    <x v="652"/>
    <x v="611"/>
    <x v="36"/>
    <x v="82"/>
    <x v="85"/>
    <x v="0"/>
    <x v="0"/>
    <x v="821"/>
    <x v="1179"/>
    <x v="1134"/>
    <x v="0"/>
  </r>
  <r>
    <x v="653"/>
    <x v="612"/>
    <x v="24"/>
    <x v="49"/>
    <x v="51"/>
    <x v="0"/>
    <x v="0"/>
    <x v="0"/>
    <x v="654"/>
    <x v="657"/>
    <x v="0"/>
  </r>
  <r>
    <x v="654"/>
    <x v="613"/>
    <x v="36"/>
    <x v="82"/>
    <x v="85"/>
    <x v="0"/>
    <x v="0"/>
    <x v="821"/>
    <x v="1179"/>
    <x v="1134"/>
    <x v="0"/>
  </r>
  <r>
    <x v="655"/>
    <x v="614"/>
    <x v="24"/>
    <x v="49"/>
    <x v="51"/>
    <x v="0"/>
    <x v="0"/>
    <x v="0"/>
    <x v="654"/>
    <x v="657"/>
    <x v="0"/>
  </r>
  <r>
    <x v="656"/>
    <x v="615"/>
    <x v="36"/>
    <x v="82"/>
    <x v="85"/>
    <x v="0"/>
    <x v="0"/>
    <x v="826"/>
    <x v="1187"/>
    <x v="1144"/>
    <x v="0"/>
  </r>
  <r>
    <x v="657"/>
    <x v="616"/>
    <x v="2"/>
    <x v="83"/>
    <x v="86"/>
    <x v="715"/>
    <x v="216"/>
    <x v="836"/>
    <x v="1203"/>
    <x v="1145"/>
    <x v="142"/>
  </r>
  <r>
    <x v="657"/>
    <x v="616"/>
    <x v="24"/>
    <x v="49"/>
    <x v="51"/>
    <x v="0"/>
    <x v="217"/>
    <x v="0"/>
    <x v="1204"/>
    <x v="1146"/>
    <x v="0"/>
  </r>
  <r>
    <x v="658"/>
    <x v="617"/>
    <x v="36"/>
    <x v="82"/>
    <x v="85"/>
    <x v="0"/>
    <x v="0"/>
    <x v="821"/>
    <x v="1179"/>
    <x v="1147"/>
    <x v="0"/>
  </r>
  <r>
    <x v="659"/>
    <x v="618"/>
    <x v="36"/>
    <x v="82"/>
    <x v="85"/>
    <x v="0"/>
    <x v="0"/>
    <x v="821"/>
    <x v="1179"/>
    <x v="1148"/>
    <x v="0"/>
  </r>
  <r>
    <x v="660"/>
    <x v="619"/>
    <x v="36"/>
    <x v="82"/>
    <x v="85"/>
    <x v="0"/>
    <x v="0"/>
    <x v="821"/>
    <x v="1179"/>
    <x v="1149"/>
    <x v="0"/>
  </r>
  <r>
    <x v="661"/>
    <x v="620"/>
    <x v="1"/>
    <x v="1"/>
    <x v="1"/>
    <x v="0"/>
    <x v="0"/>
    <x v="0"/>
    <x v="1205"/>
    <x v="1150"/>
    <x v="0"/>
  </r>
  <r>
    <x v="661"/>
    <x v="620"/>
    <x v="1"/>
    <x v="1"/>
    <x v="1"/>
    <x v="0"/>
    <x v="0"/>
    <x v="0"/>
    <x v="517"/>
    <x v="1151"/>
    <x v="0"/>
  </r>
  <r>
    <x v="662"/>
    <x v="621"/>
    <x v="36"/>
    <x v="82"/>
    <x v="85"/>
    <x v="0"/>
    <x v="0"/>
    <x v="821"/>
    <x v="1179"/>
    <x v="1152"/>
    <x v="0"/>
  </r>
  <r>
    <x v="663"/>
    <x v="622"/>
    <x v="23"/>
    <x v="49"/>
    <x v="51"/>
    <x v="0"/>
    <x v="0"/>
    <x v="0"/>
    <x v="1206"/>
    <x v="1153"/>
    <x v="0"/>
  </r>
  <r>
    <x v="664"/>
    <x v="623"/>
    <x v="36"/>
    <x v="82"/>
    <x v="85"/>
    <x v="0"/>
    <x v="0"/>
    <x v="837"/>
    <x v="1207"/>
    <x v="1154"/>
    <x v="0"/>
  </r>
  <r>
    <x v="665"/>
    <x v="624"/>
    <x v="24"/>
    <x v="49"/>
    <x v="51"/>
    <x v="0"/>
    <x v="0"/>
    <x v="0"/>
    <x v="1208"/>
    <x v="1153"/>
    <x v="0"/>
  </r>
  <r>
    <x v="666"/>
    <x v="621"/>
    <x v="35"/>
    <x v="81"/>
    <x v="84"/>
    <x v="403"/>
    <x v="66"/>
    <x v="838"/>
    <x v="1209"/>
    <x v="657"/>
    <x v="143"/>
  </r>
  <r>
    <x v="666"/>
    <x v="625"/>
    <x v="36"/>
    <x v="82"/>
    <x v="85"/>
    <x v="0"/>
    <x v="0"/>
    <x v="820"/>
    <x v="1177"/>
    <x v="1136"/>
    <x v="0"/>
  </r>
  <r>
    <x v="667"/>
    <x v="626"/>
    <x v="24"/>
    <x v="49"/>
    <x v="51"/>
    <x v="0"/>
    <x v="0"/>
    <x v="0"/>
    <x v="1196"/>
    <x v="657"/>
    <x v="0"/>
  </r>
  <r>
    <x v="668"/>
    <x v="627"/>
    <x v="36"/>
    <x v="82"/>
    <x v="85"/>
    <x v="0"/>
    <x v="0"/>
    <x v="821"/>
    <x v="1179"/>
    <x v="1134"/>
    <x v="0"/>
  </r>
  <r>
    <x v="669"/>
    <x v="628"/>
    <x v="3"/>
    <x v="56"/>
    <x v="58"/>
    <x v="716"/>
    <x v="218"/>
    <x v="839"/>
    <x v="1210"/>
    <x v="657"/>
    <x v="0"/>
  </r>
  <r>
    <x v="669"/>
    <x v="628"/>
    <x v="23"/>
    <x v="49"/>
    <x v="51"/>
    <x v="0"/>
    <x v="0"/>
    <x v="0"/>
    <x v="1211"/>
    <x v="1155"/>
    <x v="0"/>
  </r>
  <r>
    <x v="669"/>
    <x v="628"/>
    <x v="1"/>
    <x v="1"/>
    <x v="1"/>
    <x v="0"/>
    <x v="0"/>
    <x v="0"/>
    <x v="1212"/>
    <x v="1156"/>
    <x v="0"/>
  </r>
  <r>
    <x v="670"/>
    <x v="629"/>
    <x v="36"/>
    <x v="82"/>
    <x v="85"/>
    <x v="0"/>
    <x v="0"/>
    <x v="821"/>
    <x v="1179"/>
    <x v="1134"/>
    <x v="0"/>
  </r>
  <r>
    <x v="671"/>
    <x v="630"/>
    <x v="2"/>
    <x v="22"/>
    <x v="22"/>
    <x v="717"/>
    <x v="62"/>
    <x v="840"/>
    <x v="1213"/>
    <x v="1157"/>
    <x v="144"/>
  </r>
  <r>
    <x v="671"/>
    <x v="630"/>
    <x v="24"/>
    <x v="49"/>
    <x v="51"/>
    <x v="0"/>
    <x v="219"/>
    <x v="0"/>
    <x v="1214"/>
    <x v="1158"/>
    <x v="0"/>
  </r>
  <r>
    <x v="671"/>
    <x v="630"/>
    <x v="5"/>
    <x v="1"/>
    <x v="1"/>
    <x v="0"/>
    <x v="0"/>
    <x v="0"/>
    <x v="12"/>
    <x v="1159"/>
    <x v="0"/>
  </r>
  <r>
    <x v="672"/>
    <x v="631"/>
    <x v="36"/>
    <x v="82"/>
    <x v="85"/>
    <x v="0"/>
    <x v="0"/>
    <x v="821"/>
    <x v="1179"/>
    <x v="1159"/>
    <x v="0"/>
  </r>
  <r>
    <x v="673"/>
    <x v="632"/>
    <x v="3"/>
    <x v="22"/>
    <x v="22"/>
    <x v="718"/>
    <x v="62"/>
    <x v="841"/>
    <x v="1215"/>
    <x v="657"/>
    <x v="134"/>
  </r>
  <r>
    <x v="673"/>
    <x v="632"/>
    <x v="3"/>
    <x v="83"/>
    <x v="86"/>
    <x v="719"/>
    <x v="216"/>
    <x v="842"/>
    <x v="1216"/>
    <x v="1160"/>
    <x v="0"/>
  </r>
  <r>
    <x v="673"/>
    <x v="632"/>
    <x v="23"/>
    <x v="49"/>
    <x v="51"/>
    <x v="0"/>
    <x v="0"/>
    <x v="0"/>
    <x v="1217"/>
    <x v="1161"/>
    <x v="0"/>
  </r>
  <r>
    <x v="674"/>
    <x v="633"/>
    <x v="36"/>
    <x v="82"/>
    <x v="85"/>
    <x v="0"/>
    <x v="0"/>
    <x v="826"/>
    <x v="1187"/>
    <x v="1144"/>
    <x v="0"/>
  </r>
  <r>
    <x v="675"/>
    <x v="634"/>
    <x v="24"/>
    <x v="49"/>
    <x v="51"/>
    <x v="0"/>
    <x v="0"/>
    <x v="0"/>
    <x v="1202"/>
    <x v="657"/>
    <x v="0"/>
  </r>
  <r>
    <x v="675"/>
    <x v="97"/>
    <x v="25"/>
    <x v="49"/>
    <x v="51"/>
    <x v="0"/>
    <x v="0"/>
    <x v="843"/>
    <x v="1218"/>
    <x v="1162"/>
    <x v="0"/>
  </r>
  <r>
    <x v="676"/>
    <x v="635"/>
    <x v="37"/>
    <x v="81"/>
    <x v="84"/>
    <x v="720"/>
    <x v="220"/>
    <x v="844"/>
    <x v="1219"/>
    <x v="1163"/>
    <x v="143"/>
  </r>
  <r>
    <x v="676"/>
    <x v="635"/>
    <x v="36"/>
    <x v="82"/>
    <x v="85"/>
    <x v="0"/>
    <x v="0"/>
    <x v="821"/>
    <x v="1179"/>
    <x v="1164"/>
    <x v="0"/>
  </r>
  <r>
    <x v="677"/>
    <x v="636"/>
    <x v="23"/>
    <x v="49"/>
    <x v="51"/>
    <x v="0"/>
    <x v="0"/>
    <x v="0"/>
    <x v="1220"/>
    <x v="657"/>
    <x v="0"/>
  </r>
  <r>
    <x v="678"/>
    <x v="637"/>
    <x v="36"/>
    <x v="82"/>
    <x v="85"/>
    <x v="0"/>
    <x v="0"/>
    <x v="821"/>
    <x v="1179"/>
    <x v="1134"/>
    <x v="0"/>
  </r>
  <r>
    <x v="679"/>
    <x v="638"/>
    <x v="24"/>
    <x v="49"/>
    <x v="51"/>
    <x v="0"/>
    <x v="221"/>
    <x v="0"/>
    <x v="1221"/>
    <x v="1165"/>
    <x v="0"/>
  </r>
  <r>
    <x v="680"/>
    <x v="639"/>
    <x v="36"/>
    <x v="82"/>
    <x v="85"/>
    <x v="0"/>
    <x v="0"/>
    <x v="828"/>
    <x v="1189"/>
    <x v="1166"/>
    <x v="0"/>
  </r>
  <r>
    <x v="681"/>
    <x v="640"/>
    <x v="36"/>
    <x v="82"/>
    <x v="85"/>
    <x v="0"/>
    <x v="0"/>
    <x v="821"/>
    <x v="1179"/>
    <x v="1167"/>
    <x v="0"/>
  </r>
  <r>
    <x v="682"/>
    <x v="641"/>
    <x v="23"/>
    <x v="49"/>
    <x v="51"/>
    <x v="0"/>
    <x v="0"/>
    <x v="0"/>
    <x v="1222"/>
    <x v="657"/>
    <x v="0"/>
  </r>
  <r>
    <x v="683"/>
    <x v="642"/>
    <x v="38"/>
    <x v="82"/>
    <x v="87"/>
    <x v="0"/>
    <x v="0"/>
    <x v="825"/>
    <x v="1186"/>
    <x v="1135"/>
    <x v="0"/>
  </r>
  <r>
    <x v="684"/>
    <x v="643"/>
    <x v="24"/>
    <x v="49"/>
    <x v="51"/>
    <x v="0"/>
    <x v="0"/>
    <x v="0"/>
    <x v="1195"/>
    <x v="657"/>
    <x v="0"/>
  </r>
  <r>
    <x v="684"/>
    <x v="643"/>
    <x v="38"/>
    <x v="82"/>
    <x v="87"/>
    <x v="0"/>
    <x v="0"/>
    <x v="821"/>
    <x v="1179"/>
    <x v="1134"/>
    <x v="0"/>
  </r>
  <r>
    <x v="685"/>
    <x v="644"/>
    <x v="24"/>
    <x v="49"/>
    <x v="51"/>
    <x v="0"/>
    <x v="0"/>
    <x v="0"/>
    <x v="654"/>
    <x v="657"/>
    <x v="0"/>
  </r>
  <r>
    <x v="685"/>
    <x v="644"/>
    <x v="38"/>
    <x v="82"/>
    <x v="87"/>
    <x v="0"/>
    <x v="0"/>
    <x v="826"/>
    <x v="1187"/>
    <x v="1144"/>
    <x v="0"/>
  </r>
  <r>
    <x v="686"/>
    <x v="645"/>
    <x v="24"/>
    <x v="49"/>
    <x v="51"/>
    <x v="0"/>
    <x v="0"/>
    <x v="0"/>
    <x v="1202"/>
    <x v="657"/>
    <x v="0"/>
  </r>
  <r>
    <x v="686"/>
    <x v="645"/>
    <x v="38"/>
    <x v="82"/>
    <x v="87"/>
    <x v="0"/>
    <x v="0"/>
    <x v="821"/>
    <x v="1179"/>
    <x v="1134"/>
    <x v="0"/>
  </r>
  <r>
    <x v="687"/>
    <x v="646"/>
    <x v="24"/>
    <x v="49"/>
    <x v="51"/>
    <x v="0"/>
    <x v="222"/>
    <x v="0"/>
    <x v="1223"/>
    <x v="1168"/>
    <x v="0"/>
  </r>
  <r>
    <x v="687"/>
    <x v="646"/>
    <x v="38"/>
    <x v="82"/>
    <x v="87"/>
    <x v="0"/>
    <x v="0"/>
    <x v="821"/>
    <x v="1179"/>
    <x v="1169"/>
    <x v="0"/>
  </r>
  <r>
    <x v="688"/>
    <x v="647"/>
    <x v="38"/>
    <x v="82"/>
    <x v="87"/>
    <x v="0"/>
    <x v="0"/>
    <x v="821"/>
    <x v="1179"/>
    <x v="1170"/>
    <x v="0"/>
  </r>
  <r>
    <x v="689"/>
    <x v="646"/>
    <x v="39"/>
    <x v="81"/>
    <x v="88"/>
    <x v="721"/>
    <x v="66"/>
    <x v="845"/>
    <x v="1224"/>
    <x v="1171"/>
    <x v="145"/>
  </r>
  <r>
    <x v="689"/>
    <x v="648"/>
    <x v="38"/>
    <x v="82"/>
    <x v="87"/>
    <x v="0"/>
    <x v="0"/>
    <x v="821"/>
    <x v="1179"/>
    <x v="1172"/>
    <x v="0"/>
  </r>
  <r>
    <x v="690"/>
    <x v="649"/>
    <x v="38"/>
    <x v="82"/>
    <x v="87"/>
    <x v="0"/>
    <x v="0"/>
    <x v="826"/>
    <x v="1187"/>
    <x v="1173"/>
    <x v="0"/>
  </r>
  <r>
    <x v="691"/>
    <x v="650"/>
    <x v="38"/>
    <x v="82"/>
    <x v="87"/>
    <x v="0"/>
    <x v="0"/>
    <x v="821"/>
    <x v="1179"/>
    <x v="1174"/>
    <x v="0"/>
  </r>
  <r>
    <x v="692"/>
    <x v="651"/>
    <x v="38"/>
    <x v="82"/>
    <x v="87"/>
    <x v="0"/>
    <x v="0"/>
    <x v="821"/>
    <x v="1179"/>
    <x v="1175"/>
    <x v="0"/>
  </r>
  <r>
    <x v="693"/>
    <x v="652"/>
    <x v="21"/>
    <x v="23"/>
    <x v="26"/>
    <x v="0"/>
    <x v="223"/>
    <x v="0"/>
    <x v="0"/>
    <x v="1175"/>
    <x v="146"/>
  </r>
  <r>
    <x v="693"/>
    <x v="652"/>
    <x v="21"/>
    <x v="23"/>
    <x v="26"/>
    <x v="0"/>
    <x v="224"/>
    <x v="0"/>
    <x v="0"/>
    <x v="1175"/>
    <x v="147"/>
  </r>
  <r>
    <x v="693"/>
    <x v="652"/>
    <x v="38"/>
    <x v="82"/>
    <x v="87"/>
    <x v="0"/>
    <x v="0"/>
    <x v="821"/>
    <x v="1179"/>
    <x v="1176"/>
    <x v="0"/>
  </r>
  <r>
    <x v="694"/>
    <x v="653"/>
    <x v="38"/>
    <x v="82"/>
    <x v="87"/>
    <x v="0"/>
    <x v="0"/>
    <x v="821"/>
    <x v="1179"/>
    <x v="1177"/>
    <x v="0"/>
  </r>
  <r>
    <x v="695"/>
    <x v="654"/>
    <x v="38"/>
    <x v="82"/>
    <x v="87"/>
    <x v="0"/>
    <x v="0"/>
    <x v="826"/>
    <x v="1187"/>
    <x v="1178"/>
    <x v="0"/>
  </r>
  <r>
    <x v="696"/>
    <x v="655"/>
    <x v="38"/>
    <x v="82"/>
    <x v="87"/>
    <x v="0"/>
    <x v="0"/>
    <x v="821"/>
    <x v="1179"/>
    <x v="1179"/>
    <x v="0"/>
  </r>
  <r>
    <x v="697"/>
    <x v="656"/>
    <x v="38"/>
    <x v="82"/>
    <x v="87"/>
    <x v="0"/>
    <x v="0"/>
    <x v="821"/>
    <x v="1179"/>
    <x v="1180"/>
    <x v="0"/>
  </r>
  <r>
    <x v="698"/>
    <x v="657"/>
    <x v="38"/>
    <x v="82"/>
    <x v="87"/>
    <x v="0"/>
    <x v="0"/>
    <x v="821"/>
    <x v="1179"/>
    <x v="1181"/>
    <x v="0"/>
  </r>
  <r>
    <x v="699"/>
    <x v="658"/>
    <x v="23"/>
    <x v="49"/>
    <x v="51"/>
    <x v="0"/>
    <x v="0"/>
    <x v="0"/>
    <x v="1225"/>
    <x v="1182"/>
    <x v="0"/>
  </r>
  <r>
    <x v="699"/>
    <x v="658"/>
    <x v="3"/>
    <x v="22"/>
    <x v="22"/>
    <x v="722"/>
    <x v="225"/>
    <x v="846"/>
    <x v="1226"/>
    <x v="1183"/>
    <x v="0"/>
  </r>
  <r>
    <x v="699"/>
    <x v="658"/>
    <x v="38"/>
    <x v="82"/>
    <x v="87"/>
    <x v="0"/>
    <x v="0"/>
    <x v="821"/>
    <x v="1179"/>
    <x v="1184"/>
    <x v="0"/>
  </r>
  <r>
    <x v="700"/>
    <x v="659"/>
    <x v="23"/>
    <x v="49"/>
    <x v="51"/>
    <x v="0"/>
    <x v="0"/>
    <x v="0"/>
    <x v="1227"/>
    <x v="657"/>
    <x v="0"/>
  </r>
  <r>
    <x v="700"/>
    <x v="659"/>
    <x v="38"/>
    <x v="82"/>
    <x v="87"/>
    <x v="0"/>
    <x v="0"/>
    <x v="826"/>
    <x v="1187"/>
    <x v="1144"/>
    <x v="0"/>
  </r>
  <r>
    <x v="701"/>
    <x v="658"/>
    <x v="19"/>
    <x v="23"/>
    <x v="26"/>
    <x v="723"/>
    <x v="226"/>
    <x v="847"/>
    <x v="1228"/>
    <x v="1185"/>
    <x v="0"/>
  </r>
  <r>
    <x v="701"/>
    <x v="658"/>
    <x v="40"/>
    <x v="81"/>
    <x v="88"/>
    <x v="724"/>
    <x v="66"/>
    <x v="848"/>
    <x v="1229"/>
    <x v="1186"/>
    <x v="143"/>
  </r>
  <r>
    <x v="701"/>
    <x v="658"/>
    <x v="39"/>
    <x v="81"/>
    <x v="88"/>
    <x v="725"/>
    <x v="66"/>
    <x v="849"/>
    <x v="1230"/>
    <x v="1187"/>
    <x v="145"/>
  </r>
  <r>
    <x v="701"/>
    <x v="660"/>
    <x v="38"/>
    <x v="82"/>
    <x v="87"/>
    <x v="0"/>
    <x v="0"/>
    <x v="821"/>
    <x v="1179"/>
    <x v="1188"/>
    <x v="0"/>
  </r>
  <r>
    <x v="702"/>
    <x v="661"/>
    <x v="23"/>
    <x v="49"/>
    <x v="51"/>
    <x v="0"/>
    <x v="0"/>
    <x v="0"/>
    <x v="1231"/>
    <x v="657"/>
    <x v="0"/>
  </r>
  <r>
    <x v="702"/>
    <x v="661"/>
    <x v="38"/>
    <x v="82"/>
    <x v="87"/>
    <x v="0"/>
    <x v="0"/>
    <x v="821"/>
    <x v="1179"/>
    <x v="1134"/>
    <x v="0"/>
  </r>
  <r>
    <x v="703"/>
    <x v="662"/>
    <x v="24"/>
    <x v="49"/>
    <x v="51"/>
    <x v="0"/>
    <x v="0"/>
    <x v="0"/>
    <x v="654"/>
    <x v="657"/>
    <x v="0"/>
  </r>
  <r>
    <x v="703"/>
    <x v="662"/>
    <x v="38"/>
    <x v="82"/>
    <x v="87"/>
    <x v="0"/>
    <x v="0"/>
    <x v="821"/>
    <x v="1179"/>
    <x v="1134"/>
    <x v="0"/>
  </r>
  <r>
    <x v="704"/>
    <x v="663"/>
    <x v="24"/>
    <x v="49"/>
    <x v="51"/>
    <x v="0"/>
    <x v="0"/>
    <x v="0"/>
    <x v="654"/>
    <x v="657"/>
    <x v="0"/>
  </r>
  <r>
    <x v="704"/>
    <x v="663"/>
    <x v="38"/>
    <x v="82"/>
    <x v="87"/>
    <x v="0"/>
    <x v="0"/>
    <x v="821"/>
    <x v="1179"/>
    <x v="1134"/>
    <x v="0"/>
  </r>
  <r>
    <x v="705"/>
    <x v="664"/>
    <x v="24"/>
    <x v="49"/>
    <x v="51"/>
    <x v="0"/>
    <x v="0"/>
    <x v="0"/>
    <x v="654"/>
    <x v="657"/>
    <x v="0"/>
  </r>
  <r>
    <x v="705"/>
    <x v="664"/>
    <x v="38"/>
    <x v="82"/>
    <x v="87"/>
    <x v="0"/>
    <x v="0"/>
    <x v="826"/>
    <x v="1187"/>
    <x v="1144"/>
    <x v="0"/>
  </r>
  <r>
    <x v="706"/>
    <x v="665"/>
    <x v="24"/>
    <x v="49"/>
    <x v="51"/>
    <x v="0"/>
    <x v="0"/>
    <x v="0"/>
    <x v="1202"/>
    <x v="657"/>
    <x v="0"/>
  </r>
  <r>
    <x v="706"/>
    <x v="665"/>
    <x v="38"/>
    <x v="82"/>
    <x v="87"/>
    <x v="0"/>
    <x v="0"/>
    <x v="821"/>
    <x v="1179"/>
    <x v="1134"/>
    <x v="0"/>
  </r>
  <r>
    <x v="707"/>
    <x v="666"/>
    <x v="24"/>
    <x v="49"/>
    <x v="51"/>
    <x v="0"/>
    <x v="0"/>
    <x v="0"/>
    <x v="654"/>
    <x v="657"/>
    <x v="0"/>
  </r>
  <r>
    <x v="707"/>
    <x v="666"/>
    <x v="38"/>
    <x v="82"/>
    <x v="87"/>
    <x v="0"/>
    <x v="0"/>
    <x v="821"/>
    <x v="1179"/>
    <x v="1134"/>
    <x v="0"/>
  </r>
  <r>
    <x v="708"/>
    <x v="667"/>
    <x v="24"/>
    <x v="49"/>
    <x v="51"/>
    <x v="0"/>
    <x v="0"/>
    <x v="0"/>
    <x v="654"/>
    <x v="657"/>
    <x v="0"/>
  </r>
  <r>
    <x v="708"/>
    <x v="667"/>
    <x v="38"/>
    <x v="82"/>
    <x v="87"/>
    <x v="0"/>
    <x v="0"/>
    <x v="821"/>
    <x v="1179"/>
    <x v="1134"/>
    <x v="0"/>
  </r>
  <r>
    <x v="709"/>
    <x v="668"/>
    <x v="24"/>
    <x v="49"/>
    <x v="51"/>
    <x v="0"/>
    <x v="0"/>
    <x v="0"/>
    <x v="654"/>
    <x v="657"/>
    <x v="0"/>
  </r>
  <r>
    <x v="709"/>
    <x v="668"/>
    <x v="38"/>
    <x v="82"/>
    <x v="87"/>
    <x v="0"/>
    <x v="0"/>
    <x v="821"/>
    <x v="1179"/>
    <x v="1134"/>
    <x v="0"/>
  </r>
  <r>
    <x v="710"/>
    <x v="669"/>
    <x v="24"/>
    <x v="49"/>
    <x v="51"/>
    <x v="0"/>
    <x v="0"/>
    <x v="0"/>
    <x v="654"/>
    <x v="657"/>
    <x v="0"/>
  </r>
  <r>
    <x v="710"/>
    <x v="669"/>
    <x v="38"/>
    <x v="82"/>
    <x v="87"/>
    <x v="0"/>
    <x v="0"/>
    <x v="826"/>
    <x v="1187"/>
    <x v="1144"/>
    <x v="0"/>
  </r>
  <r>
    <x v="711"/>
    <x v="670"/>
    <x v="24"/>
    <x v="49"/>
    <x v="51"/>
    <x v="0"/>
    <x v="0"/>
    <x v="0"/>
    <x v="1202"/>
    <x v="657"/>
    <x v="0"/>
  </r>
  <r>
    <x v="711"/>
    <x v="670"/>
    <x v="38"/>
    <x v="82"/>
    <x v="87"/>
    <x v="0"/>
    <x v="0"/>
    <x v="821"/>
    <x v="1179"/>
    <x v="1134"/>
    <x v="0"/>
  </r>
  <r>
    <x v="712"/>
    <x v="671"/>
    <x v="24"/>
    <x v="49"/>
    <x v="51"/>
    <x v="0"/>
    <x v="0"/>
    <x v="0"/>
    <x v="654"/>
    <x v="657"/>
    <x v="0"/>
  </r>
  <r>
    <x v="712"/>
    <x v="671"/>
    <x v="38"/>
    <x v="82"/>
    <x v="87"/>
    <x v="0"/>
    <x v="0"/>
    <x v="821"/>
    <x v="1179"/>
    <x v="1134"/>
    <x v="0"/>
  </r>
  <r>
    <x v="713"/>
    <x v="672"/>
    <x v="24"/>
    <x v="49"/>
    <x v="51"/>
    <x v="0"/>
    <x v="0"/>
    <x v="0"/>
    <x v="654"/>
    <x v="657"/>
    <x v="0"/>
  </r>
  <r>
    <x v="713"/>
    <x v="672"/>
    <x v="38"/>
    <x v="82"/>
    <x v="87"/>
    <x v="0"/>
    <x v="0"/>
    <x v="821"/>
    <x v="1179"/>
    <x v="1134"/>
    <x v="0"/>
  </r>
  <r>
    <x v="714"/>
    <x v="673"/>
    <x v="24"/>
    <x v="49"/>
    <x v="51"/>
    <x v="0"/>
    <x v="0"/>
    <x v="0"/>
    <x v="654"/>
    <x v="657"/>
    <x v="0"/>
  </r>
  <r>
    <x v="714"/>
    <x v="673"/>
    <x v="38"/>
    <x v="82"/>
    <x v="87"/>
    <x v="0"/>
    <x v="0"/>
    <x v="821"/>
    <x v="1179"/>
    <x v="1134"/>
    <x v="0"/>
  </r>
  <r>
    <x v="715"/>
    <x v="674"/>
    <x v="24"/>
    <x v="49"/>
    <x v="51"/>
    <x v="0"/>
    <x v="0"/>
    <x v="0"/>
    <x v="654"/>
    <x v="657"/>
    <x v="0"/>
  </r>
  <r>
    <x v="715"/>
    <x v="674"/>
    <x v="38"/>
    <x v="82"/>
    <x v="87"/>
    <x v="0"/>
    <x v="0"/>
    <x v="826"/>
    <x v="1187"/>
    <x v="1144"/>
    <x v="0"/>
  </r>
  <r>
    <x v="716"/>
    <x v="675"/>
    <x v="24"/>
    <x v="49"/>
    <x v="51"/>
    <x v="0"/>
    <x v="0"/>
    <x v="0"/>
    <x v="1202"/>
    <x v="657"/>
    <x v="0"/>
  </r>
  <r>
    <x v="716"/>
    <x v="675"/>
    <x v="38"/>
    <x v="82"/>
    <x v="87"/>
    <x v="0"/>
    <x v="0"/>
    <x v="850"/>
    <x v="1232"/>
    <x v="1189"/>
    <x v="0"/>
  </r>
  <r>
    <x v="717"/>
    <x v="676"/>
    <x v="24"/>
    <x v="49"/>
    <x v="51"/>
    <x v="0"/>
    <x v="0"/>
    <x v="0"/>
    <x v="1233"/>
    <x v="657"/>
    <x v="0"/>
  </r>
  <r>
    <x v="717"/>
    <x v="676"/>
    <x v="38"/>
    <x v="82"/>
    <x v="87"/>
    <x v="0"/>
    <x v="0"/>
    <x v="821"/>
    <x v="1179"/>
    <x v="1134"/>
    <x v="0"/>
  </r>
  <r>
    <x v="718"/>
    <x v="677"/>
    <x v="24"/>
    <x v="49"/>
    <x v="51"/>
    <x v="0"/>
    <x v="227"/>
    <x v="0"/>
    <x v="1234"/>
    <x v="1190"/>
    <x v="0"/>
  </r>
  <r>
    <x v="718"/>
    <x v="677"/>
    <x v="38"/>
    <x v="82"/>
    <x v="87"/>
    <x v="0"/>
    <x v="0"/>
    <x v="821"/>
    <x v="1179"/>
    <x v="1191"/>
    <x v="0"/>
  </r>
  <r>
    <x v="719"/>
    <x v="678"/>
    <x v="23"/>
    <x v="49"/>
    <x v="51"/>
    <x v="0"/>
    <x v="0"/>
    <x v="0"/>
    <x v="1235"/>
    <x v="657"/>
    <x v="0"/>
  </r>
  <r>
    <x v="719"/>
    <x v="678"/>
    <x v="38"/>
    <x v="82"/>
    <x v="87"/>
    <x v="0"/>
    <x v="0"/>
    <x v="821"/>
    <x v="1179"/>
    <x v="1134"/>
    <x v="0"/>
  </r>
  <r>
    <x v="720"/>
    <x v="679"/>
    <x v="24"/>
    <x v="49"/>
    <x v="51"/>
    <x v="0"/>
    <x v="0"/>
    <x v="0"/>
    <x v="654"/>
    <x v="657"/>
    <x v="0"/>
  </r>
  <r>
    <x v="720"/>
    <x v="679"/>
    <x v="38"/>
    <x v="82"/>
    <x v="87"/>
    <x v="0"/>
    <x v="0"/>
    <x v="826"/>
    <x v="1187"/>
    <x v="1144"/>
    <x v="0"/>
  </r>
  <r>
    <x v="721"/>
    <x v="680"/>
    <x v="24"/>
    <x v="49"/>
    <x v="51"/>
    <x v="0"/>
    <x v="228"/>
    <x v="0"/>
    <x v="1236"/>
    <x v="1192"/>
    <x v="0"/>
  </r>
  <r>
    <x v="721"/>
    <x v="680"/>
    <x v="2"/>
    <x v="51"/>
    <x v="53"/>
    <x v="726"/>
    <x v="25"/>
    <x v="851"/>
    <x v="1237"/>
    <x v="657"/>
    <x v="148"/>
  </r>
  <r>
    <x v="721"/>
    <x v="680"/>
    <x v="38"/>
    <x v="82"/>
    <x v="87"/>
    <x v="0"/>
    <x v="0"/>
    <x v="821"/>
    <x v="1179"/>
    <x v="1134"/>
    <x v="0"/>
  </r>
  <r>
    <x v="722"/>
    <x v="681"/>
    <x v="24"/>
    <x v="49"/>
    <x v="51"/>
    <x v="0"/>
    <x v="0"/>
    <x v="0"/>
    <x v="654"/>
    <x v="657"/>
    <x v="0"/>
  </r>
  <r>
    <x v="722"/>
    <x v="681"/>
    <x v="38"/>
    <x v="82"/>
    <x v="87"/>
    <x v="0"/>
    <x v="0"/>
    <x v="821"/>
    <x v="1179"/>
    <x v="1134"/>
    <x v="0"/>
  </r>
  <r>
    <x v="723"/>
    <x v="682"/>
    <x v="24"/>
    <x v="49"/>
    <x v="51"/>
    <x v="0"/>
    <x v="0"/>
    <x v="0"/>
    <x v="654"/>
    <x v="657"/>
    <x v="0"/>
  </r>
  <r>
    <x v="723"/>
    <x v="682"/>
    <x v="6"/>
    <x v="51"/>
    <x v="53"/>
    <x v="0"/>
    <x v="0"/>
    <x v="852"/>
    <x v="1238"/>
    <x v="1193"/>
    <x v="0"/>
  </r>
  <r>
    <x v="723"/>
    <x v="682"/>
    <x v="38"/>
    <x v="82"/>
    <x v="87"/>
    <x v="0"/>
    <x v="0"/>
    <x v="821"/>
    <x v="1179"/>
    <x v="1194"/>
    <x v="0"/>
  </r>
  <r>
    <x v="724"/>
    <x v="683"/>
    <x v="38"/>
    <x v="82"/>
    <x v="87"/>
    <x v="0"/>
    <x v="0"/>
    <x v="821"/>
    <x v="1179"/>
    <x v="1195"/>
    <x v="0"/>
  </r>
  <r>
    <x v="725"/>
    <x v="684"/>
    <x v="38"/>
    <x v="82"/>
    <x v="87"/>
    <x v="0"/>
    <x v="0"/>
    <x v="826"/>
    <x v="1187"/>
    <x v="1196"/>
    <x v="0"/>
  </r>
  <r>
    <x v="726"/>
    <x v="685"/>
    <x v="38"/>
    <x v="82"/>
    <x v="87"/>
    <x v="0"/>
    <x v="0"/>
    <x v="821"/>
    <x v="1179"/>
    <x v="1197"/>
    <x v="0"/>
  </r>
  <r>
    <x v="727"/>
    <x v="686"/>
    <x v="1"/>
    <x v="1"/>
    <x v="1"/>
    <x v="0"/>
    <x v="0"/>
    <x v="0"/>
    <x v="1173"/>
    <x v="1198"/>
    <x v="0"/>
  </r>
  <r>
    <x v="727"/>
    <x v="686"/>
    <x v="23"/>
    <x v="49"/>
    <x v="51"/>
    <x v="0"/>
    <x v="0"/>
    <x v="0"/>
    <x v="1239"/>
    <x v="1199"/>
    <x v="0"/>
  </r>
  <r>
    <x v="727"/>
    <x v="686"/>
    <x v="38"/>
    <x v="82"/>
    <x v="87"/>
    <x v="0"/>
    <x v="0"/>
    <x v="821"/>
    <x v="1179"/>
    <x v="1200"/>
    <x v="0"/>
  </r>
  <r>
    <x v="728"/>
    <x v="687"/>
    <x v="38"/>
    <x v="82"/>
    <x v="87"/>
    <x v="0"/>
    <x v="0"/>
    <x v="821"/>
    <x v="1179"/>
    <x v="1201"/>
    <x v="0"/>
  </r>
  <r>
    <x v="729"/>
    <x v="686"/>
    <x v="39"/>
    <x v="81"/>
    <x v="88"/>
    <x v="727"/>
    <x v="66"/>
    <x v="853"/>
    <x v="1240"/>
    <x v="1202"/>
    <x v="149"/>
  </r>
  <r>
    <x v="729"/>
    <x v="688"/>
    <x v="38"/>
    <x v="82"/>
    <x v="87"/>
    <x v="0"/>
    <x v="0"/>
    <x v="821"/>
    <x v="1179"/>
    <x v="1203"/>
    <x v="0"/>
  </r>
  <r>
    <x v="730"/>
    <x v="689"/>
    <x v="38"/>
    <x v="82"/>
    <x v="87"/>
    <x v="0"/>
    <x v="0"/>
    <x v="827"/>
    <x v="1188"/>
    <x v="1204"/>
    <x v="0"/>
  </r>
  <r>
    <x v="731"/>
    <x v="690"/>
    <x v="38"/>
    <x v="82"/>
    <x v="87"/>
    <x v="0"/>
    <x v="0"/>
    <x v="850"/>
    <x v="1232"/>
    <x v="1205"/>
    <x v="0"/>
  </r>
  <r>
    <x v="732"/>
    <x v="691"/>
    <x v="38"/>
    <x v="82"/>
    <x v="87"/>
    <x v="0"/>
    <x v="0"/>
    <x v="850"/>
    <x v="1232"/>
    <x v="1206"/>
    <x v="0"/>
  </r>
  <r>
    <x v="733"/>
    <x v="692"/>
    <x v="38"/>
    <x v="82"/>
    <x v="87"/>
    <x v="0"/>
    <x v="0"/>
    <x v="850"/>
    <x v="1232"/>
    <x v="1207"/>
    <x v="0"/>
  </r>
  <r>
    <x v="734"/>
    <x v="693"/>
    <x v="38"/>
    <x v="82"/>
    <x v="87"/>
    <x v="0"/>
    <x v="0"/>
    <x v="850"/>
    <x v="1232"/>
    <x v="1208"/>
    <x v="0"/>
  </r>
  <r>
    <x v="735"/>
    <x v="694"/>
    <x v="38"/>
    <x v="82"/>
    <x v="87"/>
    <x v="0"/>
    <x v="0"/>
    <x v="827"/>
    <x v="1188"/>
    <x v="1209"/>
    <x v="0"/>
  </r>
  <r>
    <x v="736"/>
    <x v="695"/>
    <x v="38"/>
    <x v="82"/>
    <x v="87"/>
    <x v="0"/>
    <x v="0"/>
    <x v="850"/>
    <x v="1232"/>
    <x v="1210"/>
    <x v="0"/>
  </r>
  <r>
    <x v="737"/>
    <x v="696"/>
    <x v="38"/>
    <x v="82"/>
    <x v="87"/>
    <x v="0"/>
    <x v="0"/>
    <x v="821"/>
    <x v="1179"/>
    <x v="1211"/>
    <x v="0"/>
  </r>
  <r>
    <x v="738"/>
    <x v="697"/>
    <x v="38"/>
    <x v="82"/>
    <x v="87"/>
    <x v="0"/>
    <x v="0"/>
    <x v="821"/>
    <x v="1179"/>
    <x v="1212"/>
    <x v="0"/>
  </r>
  <r>
    <x v="739"/>
    <x v="698"/>
    <x v="5"/>
    <x v="1"/>
    <x v="1"/>
    <x v="0"/>
    <x v="0"/>
    <x v="0"/>
    <x v="1241"/>
    <x v="1213"/>
    <x v="0"/>
  </r>
  <r>
    <x v="739"/>
    <x v="698"/>
    <x v="38"/>
    <x v="82"/>
    <x v="87"/>
    <x v="0"/>
    <x v="0"/>
    <x v="821"/>
    <x v="1179"/>
    <x v="1214"/>
    <x v="0"/>
  </r>
  <r>
    <x v="740"/>
    <x v="699"/>
    <x v="38"/>
    <x v="82"/>
    <x v="87"/>
    <x v="0"/>
    <x v="0"/>
    <x v="854"/>
    <x v="219"/>
    <x v="1215"/>
    <x v="0"/>
  </r>
  <r>
    <x v="741"/>
    <x v="97"/>
    <x v="25"/>
    <x v="49"/>
    <x v="51"/>
    <x v="0"/>
    <x v="0"/>
    <x v="855"/>
    <x v="1242"/>
    <x v="1216"/>
    <x v="0"/>
  </r>
  <r>
    <x v="741"/>
    <x v="700"/>
    <x v="38"/>
    <x v="82"/>
    <x v="87"/>
    <x v="0"/>
    <x v="0"/>
    <x v="821"/>
    <x v="1179"/>
    <x v="1217"/>
    <x v="0"/>
  </r>
  <r>
    <x v="742"/>
    <x v="701"/>
    <x v="1"/>
    <x v="1"/>
    <x v="1"/>
    <x v="0"/>
    <x v="0"/>
    <x v="0"/>
    <x v="289"/>
    <x v="1218"/>
    <x v="0"/>
  </r>
  <r>
    <x v="742"/>
    <x v="701"/>
    <x v="23"/>
    <x v="49"/>
    <x v="51"/>
    <x v="0"/>
    <x v="0"/>
    <x v="0"/>
    <x v="1243"/>
    <x v="1219"/>
    <x v="0"/>
  </r>
  <r>
    <x v="742"/>
    <x v="701"/>
    <x v="38"/>
    <x v="82"/>
    <x v="87"/>
    <x v="0"/>
    <x v="0"/>
    <x v="850"/>
    <x v="1232"/>
    <x v="1220"/>
    <x v="0"/>
  </r>
  <r>
    <x v="743"/>
    <x v="702"/>
    <x v="38"/>
    <x v="82"/>
    <x v="87"/>
    <x v="0"/>
    <x v="0"/>
    <x v="850"/>
    <x v="1232"/>
    <x v="1221"/>
    <x v="0"/>
  </r>
  <r>
    <x v="744"/>
    <x v="701"/>
    <x v="39"/>
    <x v="81"/>
    <x v="88"/>
    <x v="728"/>
    <x v="31"/>
    <x v="856"/>
    <x v="1244"/>
    <x v="1222"/>
    <x v="150"/>
  </r>
  <r>
    <x v="744"/>
    <x v="703"/>
    <x v="38"/>
    <x v="82"/>
    <x v="87"/>
    <x v="0"/>
    <x v="0"/>
    <x v="821"/>
    <x v="1179"/>
    <x v="1223"/>
    <x v="0"/>
  </r>
  <r>
    <x v="745"/>
    <x v="704"/>
    <x v="38"/>
    <x v="82"/>
    <x v="87"/>
    <x v="0"/>
    <x v="0"/>
    <x v="827"/>
    <x v="1188"/>
    <x v="1224"/>
    <x v="0"/>
  </r>
  <r>
    <x v="746"/>
    <x v="705"/>
    <x v="38"/>
    <x v="82"/>
    <x v="87"/>
    <x v="0"/>
    <x v="0"/>
    <x v="850"/>
    <x v="1232"/>
    <x v="1225"/>
    <x v="0"/>
  </r>
  <r>
    <x v="747"/>
    <x v="706"/>
    <x v="38"/>
    <x v="82"/>
    <x v="87"/>
    <x v="0"/>
    <x v="0"/>
    <x v="850"/>
    <x v="1232"/>
    <x v="1226"/>
    <x v="0"/>
  </r>
  <r>
    <x v="748"/>
    <x v="707"/>
    <x v="38"/>
    <x v="82"/>
    <x v="87"/>
    <x v="0"/>
    <x v="0"/>
    <x v="857"/>
    <x v="1245"/>
    <x v="1227"/>
    <x v="0"/>
  </r>
  <r>
    <x v="749"/>
    <x v="708"/>
    <x v="38"/>
    <x v="82"/>
    <x v="87"/>
    <x v="0"/>
    <x v="0"/>
    <x v="854"/>
    <x v="219"/>
    <x v="1228"/>
    <x v="0"/>
  </r>
  <r>
    <x v="750"/>
    <x v="709"/>
    <x v="38"/>
    <x v="82"/>
    <x v="87"/>
    <x v="0"/>
    <x v="0"/>
    <x v="821"/>
    <x v="1179"/>
    <x v="1229"/>
    <x v="0"/>
  </r>
  <r>
    <x v="751"/>
    <x v="710"/>
    <x v="38"/>
    <x v="82"/>
    <x v="87"/>
    <x v="0"/>
    <x v="0"/>
    <x v="821"/>
    <x v="1179"/>
    <x v="1230"/>
    <x v="0"/>
  </r>
  <r>
    <x v="751"/>
    <x v="710"/>
    <x v="1"/>
    <x v="1"/>
    <x v="1"/>
    <x v="0"/>
    <x v="0"/>
    <x v="0"/>
    <x v="1246"/>
    <x v="1231"/>
    <x v="0"/>
  </r>
  <r>
    <x v="751"/>
    <x v="710"/>
    <x v="23"/>
    <x v="49"/>
    <x v="51"/>
    <x v="0"/>
    <x v="0"/>
    <x v="0"/>
    <x v="1247"/>
    <x v="1232"/>
    <x v="0"/>
  </r>
  <r>
    <x v="752"/>
    <x v="711"/>
    <x v="38"/>
    <x v="82"/>
    <x v="87"/>
    <x v="0"/>
    <x v="0"/>
    <x v="821"/>
    <x v="1179"/>
    <x v="1233"/>
    <x v="0"/>
  </r>
  <r>
    <x v="753"/>
    <x v="710"/>
    <x v="39"/>
    <x v="81"/>
    <x v="88"/>
    <x v="729"/>
    <x v="31"/>
    <x v="858"/>
    <x v="1248"/>
    <x v="1234"/>
    <x v="151"/>
  </r>
  <r>
    <x v="753"/>
    <x v="712"/>
    <x v="38"/>
    <x v="82"/>
    <x v="87"/>
    <x v="0"/>
    <x v="0"/>
    <x v="821"/>
    <x v="1179"/>
    <x v="1235"/>
    <x v="0"/>
  </r>
  <r>
    <x v="754"/>
    <x v="713"/>
    <x v="38"/>
    <x v="82"/>
    <x v="87"/>
    <x v="0"/>
    <x v="0"/>
    <x v="859"/>
    <x v="1249"/>
    <x v="1236"/>
    <x v="0"/>
  </r>
  <r>
    <x v="754"/>
    <x v="713"/>
    <x v="1"/>
    <x v="1"/>
    <x v="1"/>
    <x v="0"/>
    <x v="0"/>
    <x v="0"/>
    <x v="1250"/>
    <x v="1237"/>
    <x v="0"/>
  </r>
  <r>
    <x v="754"/>
    <x v="713"/>
    <x v="24"/>
    <x v="49"/>
    <x v="51"/>
    <x v="0"/>
    <x v="229"/>
    <x v="0"/>
    <x v="1251"/>
    <x v="1238"/>
    <x v="0"/>
  </r>
  <r>
    <x v="754"/>
    <x v="711"/>
    <x v="26"/>
    <x v="84"/>
    <x v="89"/>
    <x v="730"/>
    <x v="3"/>
    <x v="860"/>
    <x v="1252"/>
    <x v="657"/>
    <x v="0"/>
  </r>
  <r>
    <x v="755"/>
    <x v="714"/>
    <x v="38"/>
    <x v="82"/>
    <x v="87"/>
    <x v="0"/>
    <x v="0"/>
    <x v="850"/>
    <x v="1232"/>
    <x v="1189"/>
    <x v="0"/>
  </r>
  <r>
    <x v="755"/>
    <x v="714"/>
    <x v="24"/>
    <x v="49"/>
    <x v="51"/>
    <x v="0"/>
    <x v="0"/>
    <x v="0"/>
    <x v="1253"/>
    <x v="657"/>
    <x v="0"/>
  </r>
  <r>
    <x v="755"/>
    <x v="711"/>
    <x v="27"/>
    <x v="84"/>
    <x v="89"/>
    <x v="730"/>
    <x v="3"/>
    <x v="860"/>
    <x v="0"/>
    <x v="657"/>
    <x v="3"/>
  </r>
  <r>
    <x v="756"/>
    <x v="715"/>
    <x v="38"/>
    <x v="82"/>
    <x v="87"/>
    <x v="0"/>
    <x v="0"/>
    <x v="850"/>
    <x v="1232"/>
    <x v="1189"/>
    <x v="0"/>
  </r>
  <r>
    <x v="756"/>
    <x v="715"/>
    <x v="24"/>
    <x v="49"/>
    <x v="51"/>
    <x v="0"/>
    <x v="0"/>
    <x v="0"/>
    <x v="1233"/>
    <x v="657"/>
    <x v="0"/>
  </r>
  <r>
    <x v="756"/>
    <x v="711"/>
    <x v="34"/>
    <x v="84"/>
    <x v="89"/>
    <x v="730"/>
    <x v="3"/>
    <x v="860"/>
    <x v="0"/>
    <x v="657"/>
    <x v="0"/>
  </r>
  <r>
    <x v="756"/>
    <x v="711"/>
    <x v="28"/>
    <x v="84"/>
    <x v="89"/>
    <x v="730"/>
    <x v="3"/>
    <x v="0"/>
    <x v="0"/>
    <x v="657"/>
    <x v="3"/>
  </r>
  <r>
    <x v="757"/>
    <x v="716"/>
    <x v="38"/>
    <x v="82"/>
    <x v="87"/>
    <x v="0"/>
    <x v="0"/>
    <x v="850"/>
    <x v="1232"/>
    <x v="1189"/>
    <x v="0"/>
  </r>
  <r>
    <x v="757"/>
    <x v="716"/>
    <x v="24"/>
    <x v="49"/>
    <x v="51"/>
    <x v="0"/>
    <x v="0"/>
    <x v="0"/>
    <x v="1233"/>
    <x v="657"/>
    <x v="0"/>
  </r>
  <r>
    <x v="758"/>
    <x v="717"/>
    <x v="38"/>
    <x v="82"/>
    <x v="87"/>
    <x v="0"/>
    <x v="0"/>
    <x v="850"/>
    <x v="1232"/>
    <x v="1189"/>
    <x v="0"/>
  </r>
  <r>
    <x v="758"/>
    <x v="717"/>
    <x v="24"/>
    <x v="49"/>
    <x v="51"/>
    <x v="0"/>
    <x v="0"/>
    <x v="0"/>
    <x v="1233"/>
    <x v="657"/>
    <x v="0"/>
  </r>
  <r>
    <x v="759"/>
    <x v="718"/>
    <x v="24"/>
    <x v="49"/>
    <x v="51"/>
    <x v="0"/>
    <x v="0"/>
    <x v="0"/>
    <x v="1233"/>
    <x v="657"/>
    <x v="0"/>
  </r>
  <r>
    <x v="760"/>
    <x v="719"/>
    <x v="38"/>
    <x v="82"/>
    <x v="87"/>
    <x v="0"/>
    <x v="0"/>
    <x v="861"/>
    <x v="1254"/>
    <x v="1239"/>
    <x v="0"/>
  </r>
  <r>
    <x v="761"/>
    <x v="720"/>
    <x v="38"/>
    <x v="82"/>
    <x v="87"/>
    <x v="0"/>
    <x v="0"/>
    <x v="850"/>
    <x v="1232"/>
    <x v="1189"/>
    <x v="0"/>
  </r>
  <r>
    <x v="761"/>
    <x v="720"/>
    <x v="24"/>
    <x v="49"/>
    <x v="51"/>
    <x v="0"/>
    <x v="0"/>
    <x v="0"/>
    <x v="1255"/>
    <x v="657"/>
    <x v="0"/>
  </r>
  <r>
    <x v="762"/>
    <x v="721"/>
    <x v="38"/>
    <x v="82"/>
    <x v="87"/>
    <x v="0"/>
    <x v="0"/>
    <x v="850"/>
    <x v="1232"/>
    <x v="1189"/>
    <x v="0"/>
  </r>
  <r>
    <x v="762"/>
    <x v="721"/>
    <x v="24"/>
    <x v="49"/>
    <x v="51"/>
    <x v="0"/>
    <x v="0"/>
    <x v="0"/>
    <x v="1233"/>
    <x v="657"/>
    <x v="0"/>
  </r>
  <r>
    <x v="763"/>
    <x v="722"/>
    <x v="38"/>
    <x v="82"/>
    <x v="87"/>
    <x v="0"/>
    <x v="0"/>
    <x v="850"/>
    <x v="1232"/>
    <x v="1189"/>
    <x v="0"/>
  </r>
  <r>
    <x v="763"/>
    <x v="722"/>
    <x v="24"/>
    <x v="49"/>
    <x v="51"/>
    <x v="0"/>
    <x v="0"/>
    <x v="0"/>
    <x v="1233"/>
    <x v="657"/>
    <x v="0"/>
  </r>
  <r>
    <x v="764"/>
    <x v="723"/>
    <x v="38"/>
    <x v="82"/>
    <x v="87"/>
    <x v="0"/>
    <x v="0"/>
    <x v="859"/>
    <x v="1249"/>
    <x v="1236"/>
    <x v="0"/>
  </r>
  <r>
    <x v="764"/>
    <x v="723"/>
    <x v="24"/>
    <x v="49"/>
    <x v="51"/>
    <x v="0"/>
    <x v="0"/>
    <x v="0"/>
    <x v="1233"/>
    <x v="657"/>
    <x v="0"/>
  </r>
  <r>
    <x v="765"/>
    <x v="724"/>
    <x v="38"/>
    <x v="82"/>
    <x v="87"/>
    <x v="0"/>
    <x v="0"/>
    <x v="850"/>
    <x v="1232"/>
    <x v="1189"/>
    <x v="0"/>
  </r>
  <r>
    <x v="765"/>
    <x v="724"/>
    <x v="24"/>
    <x v="49"/>
    <x v="51"/>
    <x v="0"/>
    <x v="0"/>
    <x v="0"/>
    <x v="1253"/>
    <x v="657"/>
    <x v="0"/>
  </r>
  <r>
    <x v="766"/>
    <x v="725"/>
    <x v="38"/>
    <x v="82"/>
    <x v="87"/>
    <x v="0"/>
    <x v="0"/>
    <x v="850"/>
    <x v="1232"/>
    <x v="1189"/>
    <x v="0"/>
  </r>
  <r>
    <x v="766"/>
    <x v="725"/>
    <x v="24"/>
    <x v="49"/>
    <x v="51"/>
    <x v="0"/>
    <x v="0"/>
    <x v="0"/>
    <x v="1233"/>
    <x v="657"/>
    <x v="0"/>
  </r>
  <r>
    <x v="767"/>
    <x v="726"/>
    <x v="38"/>
    <x v="82"/>
    <x v="87"/>
    <x v="0"/>
    <x v="0"/>
    <x v="850"/>
    <x v="1232"/>
    <x v="1189"/>
    <x v="0"/>
  </r>
  <r>
    <x v="767"/>
    <x v="726"/>
    <x v="24"/>
    <x v="49"/>
    <x v="51"/>
    <x v="0"/>
    <x v="0"/>
    <x v="0"/>
    <x v="1233"/>
    <x v="657"/>
    <x v="0"/>
  </r>
  <r>
    <x v="768"/>
    <x v="727"/>
    <x v="38"/>
    <x v="82"/>
    <x v="87"/>
    <x v="0"/>
    <x v="0"/>
    <x v="850"/>
    <x v="1232"/>
    <x v="1189"/>
    <x v="0"/>
  </r>
  <r>
    <x v="768"/>
    <x v="727"/>
    <x v="24"/>
    <x v="49"/>
    <x v="51"/>
    <x v="0"/>
    <x v="0"/>
    <x v="0"/>
    <x v="1233"/>
    <x v="657"/>
    <x v="0"/>
  </r>
  <r>
    <x v="769"/>
    <x v="728"/>
    <x v="41"/>
    <x v="81"/>
    <x v="88"/>
    <x v="731"/>
    <x v="230"/>
    <x v="862"/>
    <x v="1256"/>
    <x v="1240"/>
    <x v="151"/>
  </r>
  <r>
    <x v="769"/>
    <x v="728"/>
    <x v="38"/>
    <x v="82"/>
    <x v="87"/>
    <x v="0"/>
    <x v="0"/>
    <x v="859"/>
    <x v="1249"/>
    <x v="1241"/>
    <x v="0"/>
  </r>
  <r>
    <x v="769"/>
    <x v="728"/>
    <x v="24"/>
    <x v="49"/>
    <x v="51"/>
    <x v="0"/>
    <x v="0"/>
    <x v="0"/>
    <x v="1233"/>
    <x v="657"/>
    <x v="0"/>
  </r>
  <r>
    <x v="770"/>
    <x v="729"/>
    <x v="38"/>
    <x v="82"/>
    <x v="87"/>
    <x v="0"/>
    <x v="0"/>
    <x v="850"/>
    <x v="1232"/>
    <x v="1189"/>
    <x v="0"/>
  </r>
  <r>
    <x v="770"/>
    <x v="729"/>
    <x v="4"/>
    <x v="1"/>
    <x v="1"/>
    <x v="0"/>
    <x v="0"/>
    <x v="0"/>
    <x v="1257"/>
    <x v="1242"/>
    <x v="0"/>
  </r>
  <r>
    <x v="770"/>
    <x v="729"/>
    <x v="24"/>
    <x v="49"/>
    <x v="51"/>
    <x v="0"/>
    <x v="231"/>
    <x v="0"/>
    <x v="1218"/>
    <x v="657"/>
    <x v="0"/>
  </r>
  <r>
    <x v="771"/>
    <x v="730"/>
    <x v="38"/>
    <x v="82"/>
    <x v="87"/>
    <x v="0"/>
    <x v="0"/>
    <x v="850"/>
    <x v="1232"/>
    <x v="1189"/>
    <x v="0"/>
  </r>
  <r>
    <x v="771"/>
    <x v="730"/>
    <x v="24"/>
    <x v="49"/>
    <x v="51"/>
    <x v="0"/>
    <x v="0"/>
    <x v="0"/>
    <x v="1233"/>
    <x v="657"/>
    <x v="0"/>
  </r>
  <r>
    <x v="772"/>
    <x v="729"/>
    <x v="40"/>
    <x v="81"/>
    <x v="88"/>
    <x v="732"/>
    <x v="31"/>
    <x v="863"/>
    <x v="1258"/>
    <x v="1243"/>
    <x v="150"/>
  </r>
  <r>
    <x v="772"/>
    <x v="729"/>
    <x v="39"/>
    <x v="85"/>
    <x v="90"/>
    <x v="733"/>
    <x v="24"/>
    <x v="864"/>
    <x v="1259"/>
    <x v="657"/>
    <x v="152"/>
  </r>
  <r>
    <x v="772"/>
    <x v="731"/>
    <x v="38"/>
    <x v="82"/>
    <x v="87"/>
    <x v="0"/>
    <x v="0"/>
    <x v="837"/>
    <x v="1207"/>
    <x v="1244"/>
    <x v="0"/>
  </r>
  <r>
    <x v="772"/>
    <x v="731"/>
    <x v="23"/>
    <x v="49"/>
    <x v="51"/>
    <x v="0"/>
    <x v="0"/>
    <x v="0"/>
    <x v="1260"/>
    <x v="1245"/>
    <x v="0"/>
  </r>
  <r>
    <x v="773"/>
    <x v="732"/>
    <x v="38"/>
    <x v="82"/>
    <x v="87"/>
    <x v="0"/>
    <x v="0"/>
    <x v="850"/>
    <x v="1232"/>
    <x v="1189"/>
    <x v="0"/>
  </r>
  <r>
    <x v="773"/>
    <x v="732"/>
    <x v="24"/>
    <x v="49"/>
    <x v="51"/>
    <x v="0"/>
    <x v="0"/>
    <x v="0"/>
    <x v="1208"/>
    <x v="657"/>
    <x v="0"/>
  </r>
  <r>
    <x v="774"/>
    <x v="733"/>
    <x v="38"/>
    <x v="82"/>
    <x v="87"/>
    <x v="0"/>
    <x v="0"/>
    <x v="859"/>
    <x v="1249"/>
    <x v="1236"/>
    <x v="0"/>
  </r>
  <r>
    <x v="774"/>
    <x v="733"/>
    <x v="24"/>
    <x v="49"/>
    <x v="51"/>
    <x v="0"/>
    <x v="0"/>
    <x v="0"/>
    <x v="1233"/>
    <x v="657"/>
    <x v="0"/>
  </r>
  <r>
    <x v="775"/>
    <x v="734"/>
    <x v="38"/>
    <x v="82"/>
    <x v="87"/>
    <x v="0"/>
    <x v="0"/>
    <x v="850"/>
    <x v="1232"/>
    <x v="1189"/>
    <x v="0"/>
  </r>
  <r>
    <x v="775"/>
    <x v="734"/>
    <x v="24"/>
    <x v="49"/>
    <x v="51"/>
    <x v="0"/>
    <x v="0"/>
    <x v="0"/>
    <x v="1253"/>
    <x v="657"/>
    <x v="0"/>
  </r>
  <r>
    <x v="776"/>
    <x v="735"/>
    <x v="38"/>
    <x v="82"/>
    <x v="87"/>
    <x v="0"/>
    <x v="0"/>
    <x v="850"/>
    <x v="1232"/>
    <x v="1189"/>
    <x v="0"/>
  </r>
  <r>
    <x v="776"/>
    <x v="735"/>
    <x v="24"/>
    <x v="49"/>
    <x v="51"/>
    <x v="0"/>
    <x v="0"/>
    <x v="0"/>
    <x v="1233"/>
    <x v="657"/>
    <x v="0"/>
  </r>
  <r>
    <x v="777"/>
    <x v="736"/>
    <x v="38"/>
    <x v="82"/>
    <x v="87"/>
    <x v="0"/>
    <x v="0"/>
    <x v="850"/>
    <x v="1232"/>
    <x v="1189"/>
    <x v="0"/>
  </r>
  <r>
    <x v="777"/>
    <x v="736"/>
    <x v="24"/>
    <x v="49"/>
    <x v="51"/>
    <x v="0"/>
    <x v="0"/>
    <x v="0"/>
    <x v="1233"/>
    <x v="657"/>
    <x v="0"/>
  </r>
  <r>
    <x v="778"/>
    <x v="737"/>
    <x v="38"/>
    <x v="82"/>
    <x v="87"/>
    <x v="0"/>
    <x v="0"/>
    <x v="850"/>
    <x v="1232"/>
    <x v="1189"/>
    <x v="0"/>
  </r>
  <r>
    <x v="778"/>
    <x v="737"/>
    <x v="24"/>
    <x v="49"/>
    <x v="51"/>
    <x v="0"/>
    <x v="0"/>
    <x v="0"/>
    <x v="1233"/>
    <x v="657"/>
    <x v="0"/>
  </r>
  <r>
    <x v="779"/>
    <x v="738"/>
    <x v="38"/>
    <x v="82"/>
    <x v="87"/>
    <x v="0"/>
    <x v="0"/>
    <x v="859"/>
    <x v="1249"/>
    <x v="1246"/>
    <x v="0"/>
  </r>
  <r>
    <x v="779"/>
    <x v="738"/>
    <x v="2"/>
    <x v="51"/>
    <x v="53"/>
    <x v="466"/>
    <x v="18"/>
    <x v="865"/>
    <x v="1261"/>
    <x v="1247"/>
    <x v="16"/>
  </r>
  <r>
    <x v="779"/>
    <x v="738"/>
    <x v="3"/>
    <x v="51"/>
    <x v="53"/>
    <x v="51"/>
    <x v="18"/>
    <x v="866"/>
    <x v="1262"/>
    <x v="1248"/>
    <x v="148"/>
  </r>
  <r>
    <x v="780"/>
    <x v="739"/>
    <x v="38"/>
    <x v="82"/>
    <x v="87"/>
    <x v="0"/>
    <x v="0"/>
    <x v="850"/>
    <x v="1232"/>
    <x v="1249"/>
    <x v="0"/>
  </r>
  <r>
    <x v="781"/>
    <x v="740"/>
    <x v="38"/>
    <x v="82"/>
    <x v="87"/>
    <x v="0"/>
    <x v="0"/>
    <x v="850"/>
    <x v="1232"/>
    <x v="1250"/>
    <x v="0"/>
  </r>
  <r>
    <x v="782"/>
    <x v="741"/>
    <x v="38"/>
    <x v="82"/>
    <x v="87"/>
    <x v="0"/>
    <x v="0"/>
    <x v="837"/>
    <x v="1207"/>
    <x v="1251"/>
    <x v="0"/>
  </r>
  <r>
    <x v="783"/>
    <x v="742"/>
    <x v="38"/>
    <x v="82"/>
    <x v="87"/>
    <x v="0"/>
    <x v="0"/>
    <x v="837"/>
    <x v="1207"/>
    <x v="1252"/>
    <x v="0"/>
  </r>
  <r>
    <x v="783"/>
    <x v="742"/>
    <x v="24"/>
    <x v="49"/>
    <x v="51"/>
    <x v="0"/>
    <x v="232"/>
    <x v="0"/>
    <x v="1263"/>
    <x v="1253"/>
    <x v="0"/>
  </r>
  <r>
    <x v="784"/>
    <x v="743"/>
    <x v="38"/>
    <x v="82"/>
    <x v="87"/>
    <x v="0"/>
    <x v="0"/>
    <x v="867"/>
    <x v="1264"/>
    <x v="1254"/>
    <x v="0"/>
  </r>
  <r>
    <x v="784"/>
    <x v="743"/>
    <x v="23"/>
    <x v="49"/>
    <x v="51"/>
    <x v="0"/>
    <x v="0"/>
    <x v="0"/>
    <x v="1265"/>
    <x v="657"/>
    <x v="0"/>
  </r>
  <r>
    <x v="785"/>
    <x v="744"/>
    <x v="38"/>
    <x v="82"/>
    <x v="87"/>
    <x v="0"/>
    <x v="0"/>
    <x v="850"/>
    <x v="1232"/>
    <x v="1189"/>
    <x v="0"/>
  </r>
  <r>
    <x v="785"/>
    <x v="744"/>
    <x v="24"/>
    <x v="49"/>
    <x v="51"/>
    <x v="0"/>
    <x v="0"/>
    <x v="0"/>
    <x v="1266"/>
    <x v="657"/>
    <x v="0"/>
  </r>
  <r>
    <x v="786"/>
    <x v="745"/>
    <x v="38"/>
    <x v="82"/>
    <x v="87"/>
    <x v="0"/>
    <x v="0"/>
    <x v="850"/>
    <x v="1232"/>
    <x v="1189"/>
    <x v="0"/>
  </r>
  <r>
    <x v="786"/>
    <x v="745"/>
    <x v="24"/>
    <x v="49"/>
    <x v="51"/>
    <x v="0"/>
    <x v="0"/>
    <x v="0"/>
    <x v="1233"/>
    <x v="657"/>
    <x v="0"/>
  </r>
  <r>
    <x v="787"/>
    <x v="746"/>
    <x v="38"/>
    <x v="82"/>
    <x v="87"/>
    <x v="0"/>
    <x v="0"/>
    <x v="850"/>
    <x v="1232"/>
    <x v="1189"/>
    <x v="0"/>
  </r>
  <r>
    <x v="787"/>
    <x v="746"/>
    <x v="24"/>
    <x v="49"/>
    <x v="51"/>
    <x v="0"/>
    <x v="0"/>
    <x v="0"/>
    <x v="1233"/>
    <x v="657"/>
    <x v="0"/>
  </r>
  <r>
    <x v="788"/>
    <x v="747"/>
    <x v="38"/>
    <x v="82"/>
    <x v="87"/>
    <x v="0"/>
    <x v="0"/>
    <x v="850"/>
    <x v="1232"/>
    <x v="1189"/>
    <x v="0"/>
  </r>
  <r>
    <x v="788"/>
    <x v="747"/>
    <x v="24"/>
    <x v="49"/>
    <x v="51"/>
    <x v="0"/>
    <x v="0"/>
    <x v="0"/>
    <x v="1233"/>
    <x v="657"/>
    <x v="0"/>
  </r>
  <r>
    <x v="789"/>
    <x v="748"/>
    <x v="38"/>
    <x v="82"/>
    <x v="87"/>
    <x v="0"/>
    <x v="0"/>
    <x v="859"/>
    <x v="1249"/>
    <x v="1236"/>
    <x v="0"/>
  </r>
  <r>
    <x v="789"/>
    <x v="748"/>
    <x v="24"/>
    <x v="49"/>
    <x v="51"/>
    <x v="0"/>
    <x v="0"/>
    <x v="0"/>
    <x v="1233"/>
    <x v="657"/>
    <x v="0"/>
  </r>
  <r>
    <x v="790"/>
    <x v="749"/>
    <x v="38"/>
    <x v="82"/>
    <x v="87"/>
    <x v="0"/>
    <x v="0"/>
    <x v="850"/>
    <x v="1232"/>
    <x v="1189"/>
    <x v="0"/>
  </r>
  <r>
    <x v="790"/>
    <x v="749"/>
    <x v="24"/>
    <x v="49"/>
    <x v="51"/>
    <x v="0"/>
    <x v="0"/>
    <x v="0"/>
    <x v="1253"/>
    <x v="657"/>
    <x v="0"/>
  </r>
  <r>
    <x v="791"/>
    <x v="750"/>
    <x v="38"/>
    <x v="82"/>
    <x v="87"/>
    <x v="0"/>
    <x v="0"/>
    <x v="850"/>
    <x v="1232"/>
    <x v="1189"/>
    <x v="0"/>
  </r>
  <r>
    <x v="791"/>
    <x v="750"/>
    <x v="24"/>
    <x v="49"/>
    <x v="51"/>
    <x v="0"/>
    <x v="0"/>
    <x v="0"/>
    <x v="1233"/>
    <x v="657"/>
    <x v="0"/>
  </r>
  <r>
    <x v="792"/>
    <x v="751"/>
    <x v="38"/>
    <x v="82"/>
    <x v="87"/>
    <x v="0"/>
    <x v="0"/>
    <x v="850"/>
    <x v="1232"/>
    <x v="1255"/>
    <x v="0"/>
  </r>
  <r>
    <x v="792"/>
    <x v="751"/>
    <x v="24"/>
    <x v="49"/>
    <x v="51"/>
    <x v="0"/>
    <x v="233"/>
    <x v="0"/>
    <x v="1267"/>
    <x v="1256"/>
    <x v="0"/>
  </r>
  <r>
    <x v="793"/>
    <x v="752"/>
    <x v="38"/>
    <x v="82"/>
    <x v="87"/>
    <x v="0"/>
    <x v="0"/>
    <x v="850"/>
    <x v="1232"/>
    <x v="1189"/>
    <x v="0"/>
  </r>
  <r>
    <x v="793"/>
    <x v="752"/>
    <x v="23"/>
    <x v="49"/>
    <x v="51"/>
    <x v="0"/>
    <x v="0"/>
    <x v="0"/>
    <x v="1268"/>
    <x v="657"/>
    <x v="0"/>
  </r>
  <r>
    <x v="794"/>
    <x v="753"/>
    <x v="38"/>
    <x v="82"/>
    <x v="87"/>
    <x v="0"/>
    <x v="0"/>
    <x v="859"/>
    <x v="1249"/>
    <x v="1236"/>
    <x v="0"/>
  </r>
  <r>
    <x v="794"/>
    <x v="753"/>
    <x v="24"/>
    <x v="49"/>
    <x v="51"/>
    <x v="0"/>
    <x v="0"/>
    <x v="0"/>
    <x v="1233"/>
    <x v="657"/>
    <x v="0"/>
  </r>
  <r>
    <x v="795"/>
    <x v="754"/>
    <x v="38"/>
    <x v="82"/>
    <x v="87"/>
    <x v="0"/>
    <x v="0"/>
    <x v="850"/>
    <x v="1232"/>
    <x v="1189"/>
    <x v="0"/>
  </r>
  <r>
    <x v="795"/>
    <x v="754"/>
    <x v="24"/>
    <x v="49"/>
    <x v="51"/>
    <x v="0"/>
    <x v="0"/>
    <x v="0"/>
    <x v="1253"/>
    <x v="657"/>
    <x v="0"/>
  </r>
  <r>
    <x v="796"/>
    <x v="755"/>
    <x v="38"/>
    <x v="82"/>
    <x v="87"/>
    <x v="0"/>
    <x v="0"/>
    <x v="850"/>
    <x v="1232"/>
    <x v="1189"/>
    <x v="0"/>
  </r>
  <r>
    <x v="796"/>
    <x v="755"/>
    <x v="24"/>
    <x v="49"/>
    <x v="51"/>
    <x v="0"/>
    <x v="0"/>
    <x v="0"/>
    <x v="1233"/>
    <x v="657"/>
    <x v="0"/>
  </r>
  <r>
    <x v="797"/>
    <x v="756"/>
    <x v="38"/>
    <x v="82"/>
    <x v="87"/>
    <x v="0"/>
    <x v="0"/>
    <x v="850"/>
    <x v="1232"/>
    <x v="1189"/>
    <x v="0"/>
  </r>
  <r>
    <x v="797"/>
    <x v="756"/>
    <x v="24"/>
    <x v="49"/>
    <x v="51"/>
    <x v="0"/>
    <x v="234"/>
    <x v="0"/>
    <x v="1269"/>
    <x v="1257"/>
    <x v="0"/>
  </r>
  <r>
    <x v="797"/>
    <x v="756"/>
    <x v="3"/>
    <x v="84"/>
    <x v="89"/>
    <x v="37"/>
    <x v="3"/>
    <x v="868"/>
    <x v="1270"/>
    <x v="1258"/>
    <x v="0"/>
  </r>
  <r>
    <x v="797"/>
    <x v="756"/>
    <x v="2"/>
    <x v="43"/>
    <x v="44"/>
    <x v="734"/>
    <x v="65"/>
    <x v="869"/>
    <x v="1271"/>
    <x v="657"/>
    <x v="20"/>
  </r>
  <r>
    <x v="798"/>
    <x v="757"/>
    <x v="38"/>
    <x v="82"/>
    <x v="87"/>
    <x v="0"/>
    <x v="0"/>
    <x v="850"/>
    <x v="1232"/>
    <x v="1259"/>
    <x v="0"/>
  </r>
  <r>
    <x v="798"/>
    <x v="757"/>
    <x v="5"/>
    <x v="1"/>
    <x v="1"/>
    <x v="0"/>
    <x v="0"/>
    <x v="0"/>
    <x v="1272"/>
    <x v="1259"/>
    <x v="0"/>
  </r>
  <r>
    <x v="798"/>
    <x v="757"/>
    <x v="24"/>
    <x v="49"/>
    <x v="51"/>
    <x v="0"/>
    <x v="0"/>
    <x v="0"/>
    <x v="1233"/>
    <x v="1260"/>
    <x v="0"/>
  </r>
  <r>
    <x v="799"/>
    <x v="758"/>
    <x v="38"/>
    <x v="82"/>
    <x v="87"/>
    <x v="0"/>
    <x v="0"/>
    <x v="859"/>
    <x v="1249"/>
    <x v="1261"/>
    <x v="0"/>
  </r>
  <r>
    <x v="800"/>
    <x v="759"/>
    <x v="38"/>
    <x v="82"/>
    <x v="87"/>
    <x v="0"/>
    <x v="0"/>
    <x v="850"/>
    <x v="1232"/>
    <x v="1262"/>
    <x v="0"/>
  </r>
  <r>
    <x v="800"/>
    <x v="97"/>
    <x v="25"/>
    <x v="49"/>
    <x v="91"/>
    <x v="0"/>
    <x v="0"/>
    <x v="870"/>
    <x v="1273"/>
    <x v="1263"/>
    <x v="0"/>
  </r>
  <r>
    <x v="801"/>
    <x v="760"/>
    <x v="38"/>
    <x v="82"/>
    <x v="87"/>
    <x v="0"/>
    <x v="0"/>
    <x v="850"/>
    <x v="1232"/>
    <x v="1264"/>
    <x v="0"/>
  </r>
  <r>
    <x v="802"/>
    <x v="761"/>
    <x v="38"/>
    <x v="82"/>
    <x v="87"/>
    <x v="0"/>
    <x v="0"/>
    <x v="850"/>
    <x v="1232"/>
    <x v="1265"/>
    <x v="0"/>
  </r>
  <r>
    <x v="803"/>
    <x v="762"/>
    <x v="38"/>
    <x v="82"/>
    <x v="87"/>
    <x v="0"/>
    <x v="0"/>
    <x v="861"/>
    <x v="1254"/>
    <x v="1266"/>
    <x v="0"/>
  </r>
  <r>
    <x v="804"/>
    <x v="763"/>
    <x v="38"/>
    <x v="82"/>
    <x v="87"/>
    <x v="0"/>
    <x v="0"/>
    <x v="850"/>
    <x v="1232"/>
    <x v="1267"/>
    <x v="0"/>
  </r>
  <r>
    <x v="805"/>
    <x v="764"/>
    <x v="38"/>
    <x v="82"/>
    <x v="87"/>
    <x v="0"/>
    <x v="0"/>
    <x v="850"/>
    <x v="1232"/>
    <x v="1268"/>
    <x v="0"/>
  </r>
  <r>
    <x v="806"/>
    <x v="765"/>
    <x v="38"/>
    <x v="82"/>
    <x v="87"/>
    <x v="0"/>
    <x v="0"/>
    <x v="850"/>
    <x v="1232"/>
    <x v="1269"/>
    <x v="0"/>
  </r>
  <r>
    <x v="807"/>
    <x v="766"/>
    <x v="38"/>
    <x v="82"/>
    <x v="87"/>
    <x v="0"/>
    <x v="0"/>
    <x v="861"/>
    <x v="1254"/>
    <x v="1270"/>
    <x v="0"/>
  </r>
  <r>
    <x v="808"/>
    <x v="767"/>
    <x v="38"/>
    <x v="82"/>
    <x v="87"/>
    <x v="0"/>
    <x v="0"/>
    <x v="850"/>
    <x v="1232"/>
    <x v="1271"/>
    <x v="0"/>
  </r>
  <r>
    <x v="809"/>
    <x v="768"/>
    <x v="38"/>
    <x v="82"/>
    <x v="87"/>
    <x v="0"/>
    <x v="0"/>
    <x v="850"/>
    <x v="1232"/>
    <x v="1272"/>
    <x v="0"/>
  </r>
  <r>
    <x v="810"/>
    <x v="769"/>
    <x v="38"/>
    <x v="82"/>
    <x v="87"/>
    <x v="0"/>
    <x v="0"/>
    <x v="850"/>
    <x v="1232"/>
    <x v="1273"/>
    <x v="0"/>
  </r>
  <r>
    <x v="811"/>
    <x v="770"/>
    <x v="38"/>
    <x v="82"/>
    <x v="87"/>
    <x v="0"/>
    <x v="0"/>
    <x v="837"/>
    <x v="1207"/>
    <x v="1274"/>
    <x v="0"/>
  </r>
  <r>
    <x v="812"/>
    <x v="771"/>
    <x v="38"/>
    <x v="82"/>
    <x v="87"/>
    <x v="0"/>
    <x v="0"/>
    <x v="867"/>
    <x v="1264"/>
    <x v="1275"/>
    <x v="0"/>
  </r>
  <r>
    <x v="813"/>
    <x v="772"/>
    <x v="38"/>
    <x v="82"/>
    <x v="87"/>
    <x v="0"/>
    <x v="0"/>
    <x v="837"/>
    <x v="1207"/>
    <x v="1276"/>
    <x v="0"/>
  </r>
  <r>
    <x v="814"/>
    <x v="773"/>
    <x v="38"/>
    <x v="82"/>
    <x v="87"/>
    <x v="0"/>
    <x v="0"/>
    <x v="837"/>
    <x v="1207"/>
    <x v="1277"/>
    <x v="0"/>
  </r>
  <r>
    <x v="815"/>
    <x v="774"/>
    <x v="38"/>
    <x v="82"/>
    <x v="87"/>
    <x v="0"/>
    <x v="0"/>
    <x v="837"/>
    <x v="1207"/>
    <x v="1278"/>
    <x v="0"/>
  </r>
  <r>
    <x v="816"/>
    <x v="775"/>
    <x v="38"/>
    <x v="82"/>
    <x v="87"/>
    <x v="0"/>
    <x v="0"/>
    <x v="837"/>
    <x v="1207"/>
    <x v="1279"/>
    <x v="0"/>
  </r>
  <r>
    <x v="817"/>
    <x v="776"/>
    <x v="38"/>
    <x v="82"/>
    <x v="87"/>
    <x v="0"/>
    <x v="0"/>
    <x v="867"/>
    <x v="1264"/>
    <x v="1280"/>
    <x v="0"/>
  </r>
  <r>
    <x v="818"/>
    <x v="777"/>
    <x v="38"/>
    <x v="82"/>
    <x v="87"/>
    <x v="0"/>
    <x v="0"/>
    <x v="837"/>
    <x v="1207"/>
    <x v="1040"/>
    <x v="0"/>
  </r>
  <r>
    <x v="819"/>
    <x v="778"/>
    <x v="38"/>
    <x v="82"/>
    <x v="87"/>
    <x v="0"/>
    <x v="0"/>
    <x v="837"/>
    <x v="1207"/>
    <x v="1281"/>
    <x v="0"/>
  </r>
  <r>
    <x v="820"/>
    <x v="779"/>
    <x v="38"/>
    <x v="82"/>
    <x v="87"/>
    <x v="0"/>
    <x v="0"/>
    <x v="837"/>
    <x v="1207"/>
    <x v="1282"/>
    <x v="0"/>
  </r>
  <r>
    <x v="821"/>
    <x v="780"/>
    <x v="38"/>
    <x v="82"/>
    <x v="87"/>
    <x v="0"/>
    <x v="0"/>
    <x v="837"/>
    <x v="1207"/>
    <x v="1283"/>
    <x v="0"/>
  </r>
  <r>
    <x v="822"/>
    <x v="781"/>
    <x v="38"/>
    <x v="82"/>
    <x v="87"/>
    <x v="0"/>
    <x v="0"/>
    <x v="867"/>
    <x v="1264"/>
    <x v="1284"/>
    <x v="0"/>
  </r>
  <r>
    <x v="823"/>
    <x v="782"/>
    <x v="38"/>
    <x v="82"/>
    <x v="87"/>
    <x v="0"/>
    <x v="0"/>
    <x v="837"/>
    <x v="1207"/>
    <x v="1285"/>
    <x v="0"/>
  </r>
  <r>
    <x v="824"/>
    <x v="783"/>
    <x v="38"/>
    <x v="82"/>
    <x v="87"/>
    <x v="0"/>
    <x v="0"/>
    <x v="837"/>
    <x v="1207"/>
    <x v="1286"/>
    <x v="0"/>
  </r>
  <r>
    <x v="825"/>
    <x v="784"/>
    <x v="38"/>
    <x v="82"/>
    <x v="87"/>
    <x v="0"/>
    <x v="0"/>
    <x v="837"/>
    <x v="1207"/>
    <x v="1287"/>
    <x v="0"/>
  </r>
  <r>
    <x v="826"/>
    <x v="785"/>
    <x v="38"/>
    <x v="82"/>
    <x v="87"/>
    <x v="0"/>
    <x v="0"/>
    <x v="837"/>
    <x v="1207"/>
    <x v="1288"/>
    <x v="0"/>
  </r>
  <r>
    <x v="827"/>
    <x v="786"/>
    <x v="38"/>
    <x v="82"/>
    <x v="87"/>
    <x v="0"/>
    <x v="0"/>
    <x v="867"/>
    <x v="1264"/>
    <x v="1289"/>
    <x v="0"/>
  </r>
  <r>
    <x v="828"/>
    <x v="787"/>
    <x v="38"/>
    <x v="82"/>
    <x v="87"/>
    <x v="0"/>
    <x v="0"/>
    <x v="837"/>
    <x v="1207"/>
    <x v="1290"/>
    <x v="0"/>
  </r>
  <r>
    <x v="829"/>
    <x v="788"/>
    <x v="38"/>
    <x v="82"/>
    <x v="87"/>
    <x v="0"/>
    <x v="0"/>
    <x v="837"/>
    <x v="1207"/>
    <x v="1291"/>
    <x v="0"/>
  </r>
  <r>
    <x v="830"/>
    <x v="789"/>
    <x v="38"/>
    <x v="82"/>
    <x v="87"/>
    <x v="0"/>
    <x v="0"/>
    <x v="837"/>
    <x v="1207"/>
    <x v="1292"/>
    <x v="0"/>
  </r>
  <r>
    <x v="831"/>
    <x v="790"/>
    <x v="38"/>
    <x v="82"/>
    <x v="87"/>
    <x v="0"/>
    <x v="0"/>
    <x v="837"/>
    <x v="1207"/>
    <x v="1293"/>
    <x v="0"/>
  </r>
  <r>
    <x v="832"/>
    <x v="791"/>
    <x v="38"/>
    <x v="82"/>
    <x v="87"/>
    <x v="0"/>
    <x v="0"/>
    <x v="867"/>
    <x v="1264"/>
    <x v="1294"/>
    <x v="0"/>
  </r>
  <r>
    <x v="833"/>
    <x v="792"/>
    <x v="38"/>
    <x v="82"/>
    <x v="87"/>
    <x v="0"/>
    <x v="0"/>
    <x v="837"/>
    <x v="1207"/>
    <x v="1295"/>
    <x v="0"/>
  </r>
  <r>
    <x v="834"/>
    <x v="793"/>
    <x v="38"/>
    <x v="82"/>
    <x v="87"/>
    <x v="0"/>
    <x v="0"/>
    <x v="837"/>
    <x v="1207"/>
    <x v="1296"/>
    <x v="0"/>
  </r>
  <r>
    <x v="835"/>
    <x v="794"/>
    <x v="1"/>
    <x v="1"/>
    <x v="1"/>
    <x v="0"/>
    <x v="0"/>
    <x v="0"/>
    <x v="1274"/>
    <x v="1297"/>
    <x v="0"/>
  </r>
  <r>
    <x v="835"/>
    <x v="794"/>
    <x v="23"/>
    <x v="49"/>
    <x v="51"/>
    <x v="0"/>
    <x v="0"/>
    <x v="0"/>
    <x v="1275"/>
    <x v="1298"/>
    <x v="0"/>
  </r>
  <r>
    <x v="835"/>
    <x v="794"/>
    <x v="38"/>
    <x v="82"/>
    <x v="87"/>
    <x v="0"/>
    <x v="0"/>
    <x v="871"/>
    <x v="1276"/>
    <x v="1299"/>
    <x v="0"/>
  </r>
  <r>
    <x v="836"/>
    <x v="795"/>
    <x v="38"/>
    <x v="82"/>
    <x v="87"/>
    <x v="0"/>
    <x v="0"/>
    <x v="837"/>
    <x v="1207"/>
    <x v="1300"/>
    <x v="0"/>
  </r>
  <r>
    <x v="837"/>
    <x v="794"/>
    <x v="39"/>
    <x v="85"/>
    <x v="90"/>
    <x v="686"/>
    <x v="87"/>
    <x v="872"/>
    <x v="1277"/>
    <x v="1301"/>
    <x v="16"/>
  </r>
  <r>
    <x v="837"/>
    <x v="796"/>
    <x v="38"/>
    <x v="82"/>
    <x v="87"/>
    <x v="0"/>
    <x v="0"/>
    <x v="867"/>
    <x v="1264"/>
    <x v="1302"/>
    <x v="0"/>
  </r>
  <r>
    <x v="838"/>
    <x v="797"/>
    <x v="38"/>
    <x v="82"/>
    <x v="87"/>
    <x v="0"/>
    <x v="0"/>
    <x v="825"/>
    <x v="1186"/>
    <x v="1303"/>
    <x v="0"/>
  </r>
  <r>
    <x v="839"/>
    <x v="798"/>
    <x v="38"/>
    <x v="82"/>
    <x v="87"/>
    <x v="0"/>
    <x v="0"/>
    <x v="825"/>
    <x v="1186"/>
    <x v="1304"/>
    <x v="0"/>
  </r>
  <r>
    <x v="840"/>
    <x v="799"/>
    <x v="38"/>
    <x v="82"/>
    <x v="87"/>
    <x v="0"/>
    <x v="0"/>
    <x v="825"/>
    <x v="1186"/>
    <x v="1305"/>
    <x v="0"/>
  </r>
  <r>
    <x v="841"/>
    <x v="800"/>
    <x v="38"/>
    <x v="82"/>
    <x v="87"/>
    <x v="0"/>
    <x v="0"/>
    <x v="825"/>
    <x v="1186"/>
    <x v="1306"/>
    <x v="0"/>
  </r>
  <r>
    <x v="842"/>
    <x v="801"/>
    <x v="38"/>
    <x v="82"/>
    <x v="87"/>
    <x v="0"/>
    <x v="0"/>
    <x v="873"/>
    <x v="1278"/>
    <x v="1307"/>
    <x v="0"/>
  </r>
  <r>
    <x v="843"/>
    <x v="802"/>
    <x v="38"/>
    <x v="82"/>
    <x v="87"/>
    <x v="0"/>
    <x v="0"/>
    <x v="825"/>
    <x v="1186"/>
    <x v="1308"/>
    <x v="0"/>
  </r>
  <r>
    <x v="844"/>
    <x v="803"/>
    <x v="38"/>
    <x v="82"/>
    <x v="87"/>
    <x v="0"/>
    <x v="0"/>
    <x v="825"/>
    <x v="1186"/>
    <x v="1309"/>
    <x v="0"/>
  </r>
  <r>
    <x v="845"/>
    <x v="804"/>
    <x v="38"/>
    <x v="82"/>
    <x v="87"/>
    <x v="0"/>
    <x v="0"/>
    <x v="825"/>
    <x v="1186"/>
    <x v="1310"/>
    <x v="0"/>
  </r>
  <r>
    <x v="846"/>
    <x v="805"/>
    <x v="38"/>
    <x v="82"/>
    <x v="87"/>
    <x v="0"/>
    <x v="0"/>
    <x v="825"/>
    <x v="1186"/>
    <x v="1311"/>
    <x v="0"/>
  </r>
  <r>
    <x v="847"/>
    <x v="806"/>
    <x v="38"/>
    <x v="82"/>
    <x v="87"/>
    <x v="0"/>
    <x v="0"/>
    <x v="873"/>
    <x v="1278"/>
    <x v="1312"/>
    <x v="0"/>
  </r>
  <r>
    <x v="848"/>
    <x v="807"/>
    <x v="38"/>
    <x v="82"/>
    <x v="87"/>
    <x v="0"/>
    <x v="0"/>
    <x v="825"/>
    <x v="1186"/>
    <x v="1214"/>
    <x v="0"/>
  </r>
  <r>
    <x v="849"/>
    <x v="808"/>
    <x v="38"/>
    <x v="82"/>
    <x v="87"/>
    <x v="0"/>
    <x v="0"/>
    <x v="825"/>
    <x v="1186"/>
    <x v="1313"/>
    <x v="0"/>
  </r>
  <r>
    <x v="850"/>
    <x v="809"/>
    <x v="38"/>
    <x v="82"/>
    <x v="87"/>
    <x v="0"/>
    <x v="0"/>
    <x v="825"/>
    <x v="1186"/>
    <x v="1314"/>
    <x v="0"/>
  </r>
  <r>
    <x v="851"/>
    <x v="810"/>
    <x v="38"/>
    <x v="82"/>
    <x v="87"/>
    <x v="0"/>
    <x v="0"/>
    <x v="825"/>
    <x v="1186"/>
    <x v="1315"/>
    <x v="0"/>
  </r>
  <r>
    <x v="852"/>
    <x v="811"/>
    <x v="38"/>
    <x v="82"/>
    <x v="87"/>
    <x v="0"/>
    <x v="0"/>
    <x v="873"/>
    <x v="1278"/>
    <x v="1316"/>
    <x v="0"/>
  </r>
  <r>
    <x v="853"/>
    <x v="812"/>
    <x v="38"/>
    <x v="82"/>
    <x v="87"/>
    <x v="0"/>
    <x v="0"/>
    <x v="825"/>
    <x v="1186"/>
    <x v="1317"/>
    <x v="0"/>
  </r>
  <r>
    <x v="854"/>
    <x v="813"/>
    <x v="38"/>
    <x v="82"/>
    <x v="87"/>
    <x v="0"/>
    <x v="0"/>
    <x v="825"/>
    <x v="1186"/>
    <x v="1318"/>
    <x v="0"/>
  </r>
  <r>
    <x v="855"/>
    <x v="814"/>
    <x v="38"/>
    <x v="82"/>
    <x v="87"/>
    <x v="0"/>
    <x v="0"/>
    <x v="825"/>
    <x v="1186"/>
    <x v="1319"/>
    <x v="0"/>
  </r>
  <r>
    <x v="856"/>
    <x v="815"/>
    <x v="5"/>
    <x v="1"/>
    <x v="1"/>
    <x v="0"/>
    <x v="0"/>
    <x v="0"/>
    <x v="1279"/>
    <x v="1308"/>
    <x v="0"/>
  </r>
  <r>
    <x v="856"/>
    <x v="815"/>
    <x v="38"/>
    <x v="82"/>
    <x v="87"/>
    <x v="0"/>
    <x v="0"/>
    <x v="825"/>
    <x v="1186"/>
    <x v="1309"/>
    <x v="0"/>
  </r>
  <r>
    <x v="857"/>
    <x v="97"/>
    <x v="25"/>
    <x v="49"/>
    <x v="51"/>
    <x v="0"/>
    <x v="0"/>
    <x v="874"/>
    <x v="1280"/>
    <x v="1320"/>
    <x v="0"/>
  </r>
  <r>
    <x v="857"/>
    <x v="816"/>
    <x v="38"/>
    <x v="82"/>
    <x v="87"/>
    <x v="0"/>
    <x v="0"/>
    <x v="867"/>
    <x v="1264"/>
    <x v="1321"/>
    <x v="0"/>
  </r>
  <r>
    <x v="858"/>
    <x v="817"/>
    <x v="38"/>
    <x v="82"/>
    <x v="87"/>
    <x v="0"/>
    <x v="0"/>
    <x v="825"/>
    <x v="1186"/>
    <x v="1322"/>
    <x v="0"/>
  </r>
  <r>
    <x v="859"/>
    <x v="818"/>
    <x v="38"/>
    <x v="82"/>
    <x v="87"/>
    <x v="0"/>
    <x v="0"/>
    <x v="837"/>
    <x v="1207"/>
    <x v="1323"/>
    <x v="0"/>
  </r>
  <r>
    <x v="860"/>
    <x v="819"/>
    <x v="38"/>
    <x v="82"/>
    <x v="87"/>
    <x v="0"/>
    <x v="0"/>
    <x v="837"/>
    <x v="1207"/>
    <x v="1324"/>
    <x v="0"/>
  </r>
  <r>
    <x v="861"/>
    <x v="820"/>
    <x v="38"/>
    <x v="82"/>
    <x v="87"/>
    <x v="0"/>
    <x v="0"/>
    <x v="837"/>
    <x v="1207"/>
    <x v="1325"/>
    <x v="0"/>
  </r>
  <r>
    <x v="862"/>
    <x v="821"/>
    <x v="38"/>
    <x v="82"/>
    <x v="87"/>
    <x v="0"/>
    <x v="0"/>
    <x v="867"/>
    <x v="1264"/>
    <x v="1326"/>
    <x v="0"/>
  </r>
  <r>
    <x v="863"/>
    <x v="822"/>
    <x v="38"/>
    <x v="82"/>
    <x v="87"/>
    <x v="0"/>
    <x v="0"/>
    <x v="825"/>
    <x v="1186"/>
    <x v="1327"/>
    <x v="0"/>
  </r>
  <r>
    <x v="864"/>
    <x v="823"/>
    <x v="38"/>
    <x v="82"/>
    <x v="87"/>
    <x v="0"/>
    <x v="0"/>
    <x v="825"/>
    <x v="1186"/>
    <x v="1328"/>
    <x v="0"/>
  </r>
  <r>
    <x v="865"/>
    <x v="824"/>
    <x v="38"/>
    <x v="82"/>
    <x v="87"/>
    <x v="0"/>
    <x v="0"/>
    <x v="825"/>
    <x v="1186"/>
    <x v="1329"/>
    <x v="0"/>
  </r>
  <r>
    <x v="866"/>
    <x v="825"/>
    <x v="38"/>
    <x v="82"/>
    <x v="87"/>
    <x v="0"/>
    <x v="0"/>
    <x v="875"/>
    <x v="1281"/>
    <x v="1330"/>
    <x v="0"/>
  </r>
  <r>
    <x v="867"/>
    <x v="826"/>
    <x v="38"/>
    <x v="82"/>
    <x v="87"/>
    <x v="0"/>
    <x v="0"/>
    <x v="825"/>
    <x v="1186"/>
    <x v="1331"/>
    <x v="0"/>
  </r>
  <r>
    <x v="868"/>
    <x v="827"/>
    <x v="38"/>
    <x v="82"/>
    <x v="87"/>
    <x v="0"/>
    <x v="0"/>
    <x v="825"/>
    <x v="1186"/>
    <x v="1332"/>
    <x v="0"/>
  </r>
  <r>
    <x v="869"/>
    <x v="828"/>
    <x v="38"/>
    <x v="82"/>
    <x v="87"/>
    <x v="0"/>
    <x v="0"/>
    <x v="873"/>
    <x v="1278"/>
    <x v="1333"/>
    <x v="0"/>
  </r>
  <r>
    <x v="870"/>
    <x v="829"/>
    <x v="38"/>
    <x v="82"/>
    <x v="87"/>
    <x v="0"/>
    <x v="0"/>
    <x v="825"/>
    <x v="1186"/>
    <x v="1334"/>
    <x v="0"/>
  </r>
  <r>
    <x v="871"/>
    <x v="830"/>
    <x v="38"/>
    <x v="82"/>
    <x v="87"/>
    <x v="0"/>
    <x v="0"/>
    <x v="825"/>
    <x v="1186"/>
    <x v="1335"/>
    <x v="0"/>
  </r>
  <r>
    <x v="872"/>
    <x v="831"/>
    <x v="38"/>
    <x v="82"/>
    <x v="87"/>
    <x v="0"/>
    <x v="0"/>
    <x v="825"/>
    <x v="1186"/>
    <x v="1336"/>
    <x v="0"/>
  </r>
  <r>
    <x v="873"/>
    <x v="832"/>
    <x v="23"/>
    <x v="49"/>
    <x v="51"/>
    <x v="0"/>
    <x v="0"/>
    <x v="0"/>
    <x v="1282"/>
    <x v="1337"/>
    <x v="0"/>
  </r>
  <r>
    <x v="873"/>
    <x v="830"/>
    <x v="40"/>
    <x v="85"/>
    <x v="90"/>
    <x v="735"/>
    <x v="8"/>
    <x v="876"/>
    <x v="1283"/>
    <x v="657"/>
    <x v="19"/>
  </r>
  <r>
    <x v="873"/>
    <x v="832"/>
    <x v="38"/>
    <x v="82"/>
    <x v="87"/>
    <x v="0"/>
    <x v="0"/>
    <x v="825"/>
    <x v="1186"/>
    <x v="1135"/>
    <x v="0"/>
  </r>
  <r>
    <x v="874"/>
    <x v="833"/>
    <x v="24"/>
    <x v="49"/>
    <x v="51"/>
    <x v="0"/>
    <x v="0"/>
    <x v="0"/>
    <x v="1195"/>
    <x v="657"/>
    <x v="0"/>
  </r>
  <r>
    <x v="874"/>
    <x v="833"/>
    <x v="38"/>
    <x v="82"/>
    <x v="87"/>
    <x v="0"/>
    <x v="0"/>
    <x v="873"/>
    <x v="1278"/>
    <x v="1338"/>
    <x v="0"/>
  </r>
  <r>
    <x v="875"/>
    <x v="834"/>
    <x v="24"/>
    <x v="49"/>
    <x v="51"/>
    <x v="0"/>
    <x v="0"/>
    <x v="0"/>
    <x v="1284"/>
    <x v="657"/>
    <x v="0"/>
  </r>
  <r>
    <x v="875"/>
    <x v="834"/>
    <x v="38"/>
    <x v="82"/>
    <x v="87"/>
    <x v="0"/>
    <x v="0"/>
    <x v="825"/>
    <x v="1186"/>
    <x v="1135"/>
    <x v="0"/>
  </r>
  <r>
    <x v="876"/>
    <x v="835"/>
    <x v="24"/>
    <x v="49"/>
    <x v="51"/>
    <x v="0"/>
    <x v="0"/>
    <x v="0"/>
    <x v="1195"/>
    <x v="657"/>
    <x v="0"/>
  </r>
  <r>
    <x v="876"/>
    <x v="835"/>
    <x v="38"/>
    <x v="82"/>
    <x v="87"/>
    <x v="0"/>
    <x v="0"/>
    <x v="825"/>
    <x v="1186"/>
    <x v="1135"/>
    <x v="0"/>
  </r>
  <r>
    <x v="877"/>
    <x v="836"/>
    <x v="23"/>
    <x v="49"/>
    <x v="51"/>
    <x v="0"/>
    <x v="0"/>
    <x v="0"/>
    <x v="1285"/>
    <x v="1339"/>
    <x v="0"/>
  </r>
  <r>
    <x v="877"/>
    <x v="836"/>
    <x v="3"/>
    <x v="43"/>
    <x v="44"/>
    <x v="736"/>
    <x v="65"/>
    <x v="877"/>
    <x v="1286"/>
    <x v="657"/>
    <x v="0"/>
  </r>
  <r>
    <x v="877"/>
    <x v="836"/>
    <x v="38"/>
    <x v="82"/>
    <x v="87"/>
    <x v="0"/>
    <x v="0"/>
    <x v="837"/>
    <x v="1207"/>
    <x v="1244"/>
    <x v="0"/>
  </r>
  <r>
    <x v="878"/>
    <x v="837"/>
    <x v="24"/>
    <x v="49"/>
    <x v="51"/>
    <x v="0"/>
    <x v="0"/>
    <x v="0"/>
    <x v="1208"/>
    <x v="657"/>
    <x v="0"/>
  </r>
  <r>
    <x v="878"/>
    <x v="837"/>
    <x v="38"/>
    <x v="82"/>
    <x v="87"/>
    <x v="0"/>
    <x v="0"/>
    <x v="837"/>
    <x v="1207"/>
    <x v="1244"/>
    <x v="0"/>
  </r>
  <r>
    <x v="879"/>
    <x v="838"/>
    <x v="23"/>
    <x v="49"/>
    <x v="51"/>
    <x v="0"/>
    <x v="0"/>
    <x v="0"/>
    <x v="1287"/>
    <x v="1340"/>
    <x v="0"/>
  </r>
  <r>
    <x v="879"/>
    <x v="836"/>
    <x v="40"/>
    <x v="85"/>
    <x v="90"/>
    <x v="737"/>
    <x v="8"/>
    <x v="878"/>
    <x v="1288"/>
    <x v="657"/>
    <x v="101"/>
  </r>
  <r>
    <x v="879"/>
    <x v="838"/>
    <x v="38"/>
    <x v="82"/>
    <x v="87"/>
    <x v="0"/>
    <x v="0"/>
    <x v="867"/>
    <x v="1264"/>
    <x v="1254"/>
    <x v="0"/>
  </r>
  <r>
    <x v="880"/>
    <x v="839"/>
    <x v="24"/>
    <x v="49"/>
    <x v="51"/>
    <x v="0"/>
    <x v="0"/>
    <x v="0"/>
    <x v="1266"/>
    <x v="657"/>
    <x v="0"/>
  </r>
  <r>
    <x v="880"/>
    <x v="839"/>
    <x v="38"/>
    <x v="82"/>
    <x v="87"/>
    <x v="0"/>
    <x v="0"/>
    <x v="837"/>
    <x v="1207"/>
    <x v="1244"/>
    <x v="0"/>
  </r>
  <r>
    <x v="881"/>
    <x v="840"/>
    <x v="24"/>
    <x v="49"/>
    <x v="51"/>
    <x v="0"/>
    <x v="0"/>
    <x v="0"/>
    <x v="1208"/>
    <x v="657"/>
    <x v="0"/>
  </r>
  <r>
    <x v="881"/>
    <x v="840"/>
    <x v="38"/>
    <x v="82"/>
    <x v="87"/>
    <x v="0"/>
    <x v="0"/>
    <x v="837"/>
    <x v="1207"/>
    <x v="1244"/>
    <x v="0"/>
  </r>
  <r>
    <x v="882"/>
    <x v="841"/>
    <x v="24"/>
    <x v="49"/>
    <x v="51"/>
    <x v="0"/>
    <x v="0"/>
    <x v="0"/>
    <x v="1208"/>
    <x v="657"/>
    <x v="0"/>
  </r>
  <r>
    <x v="882"/>
    <x v="841"/>
    <x v="38"/>
    <x v="82"/>
    <x v="87"/>
    <x v="0"/>
    <x v="0"/>
    <x v="837"/>
    <x v="1207"/>
    <x v="1244"/>
    <x v="0"/>
  </r>
  <r>
    <x v="883"/>
    <x v="842"/>
    <x v="24"/>
    <x v="49"/>
    <x v="51"/>
    <x v="0"/>
    <x v="0"/>
    <x v="0"/>
    <x v="1208"/>
    <x v="657"/>
    <x v="0"/>
  </r>
  <r>
    <x v="883"/>
    <x v="842"/>
    <x v="38"/>
    <x v="82"/>
    <x v="87"/>
    <x v="0"/>
    <x v="0"/>
    <x v="837"/>
    <x v="1207"/>
    <x v="1244"/>
    <x v="0"/>
  </r>
  <r>
    <x v="884"/>
    <x v="843"/>
    <x v="24"/>
    <x v="49"/>
    <x v="51"/>
    <x v="0"/>
    <x v="0"/>
    <x v="0"/>
    <x v="1208"/>
    <x v="657"/>
    <x v="0"/>
  </r>
  <r>
    <x v="884"/>
    <x v="843"/>
    <x v="38"/>
    <x v="82"/>
    <x v="87"/>
    <x v="0"/>
    <x v="0"/>
    <x v="879"/>
    <x v="1289"/>
    <x v="1341"/>
    <x v="0"/>
  </r>
  <r>
    <x v="885"/>
    <x v="844"/>
    <x v="24"/>
    <x v="49"/>
    <x v="51"/>
    <x v="0"/>
    <x v="0"/>
    <x v="0"/>
    <x v="1290"/>
    <x v="657"/>
    <x v="0"/>
  </r>
  <r>
    <x v="885"/>
    <x v="844"/>
    <x v="38"/>
    <x v="82"/>
    <x v="87"/>
    <x v="0"/>
    <x v="0"/>
    <x v="837"/>
    <x v="1207"/>
    <x v="1244"/>
    <x v="0"/>
  </r>
  <r>
    <x v="886"/>
    <x v="845"/>
    <x v="24"/>
    <x v="49"/>
    <x v="51"/>
    <x v="0"/>
    <x v="0"/>
    <x v="0"/>
    <x v="1208"/>
    <x v="657"/>
    <x v="0"/>
  </r>
  <r>
    <x v="886"/>
    <x v="845"/>
    <x v="38"/>
    <x v="82"/>
    <x v="87"/>
    <x v="0"/>
    <x v="0"/>
    <x v="867"/>
    <x v="1264"/>
    <x v="1254"/>
    <x v="0"/>
  </r>
  <r>
    <x v="887"/>
    <x v="846"/>
    <x v="24"/>
    <x v="49"/>
    <x v="51"/>
    <x v="0"/>
    <x v="0"/>
    <x v="0"/>
    <x v="1266"/>
    <x v="657"/>
    <x v="0"/>
  </r>
  <r>
    <x v="887"/>
    <x v="846"/>
    <x v="38"/>
    <x v="82"/>
    <x v="87"/>
    <x v="0"/>
    <x v="0"/>
    <x v="837"/>
    <x v="1207"/>
    <x v="1244"/>
    <x v="0"/>
  </r>
  <r>
    <x v="888"/>
    <x v="847"/>
    <x v="24"/>
    <x v="49"/>
    <x v="51"/>
    <x v="0"/>
    <x v="0"/>
    <x v="0"/>
    <x v="1208"/>
    <x v="657"/>
    <x v="0"/>
  </r>
  <r>
    <x v="888"/>
    <x v="847"/>
    <x v="38"/>
    <x v="82"/>
    <x v="87"/>
    <x v="0"/>
    <x v="0"/>
    <x v="837"/>
    <x v="1207"/>
    <x v="1244"/>
    <x v="0"/>
  </r>
  <r>
    <x v="889"/>
    <x v="848"/>
    <x v="24"/>
    <x v="49"/>
    <x v="51"/>
    <x v="0"/>
    <x v="0"/>
    <x v="0"/>
    <x v="1208"/>
    <x v="657"/>
    <x v="0"/>
  </r>
  <r>
    <x v="889"/>
    <x v="848"/>
    <x v="38"/>
    <x v="82"/>
    <x v="87"/>
    <x v="0"/>
    <x v="0"/>
    <x v="837"/>
    <x v="1207"/>
    <x v="1244"/>
    <x v="0"/>
  </r>
  <r>
    <x v="890"/>
    <x v="849"/>
    <x v="24"/>
    <x v="49"/>
    <x v="51"/>
    <x v="0"/>
    <x v="0"/>
    <x v="0"/>
    <x v="1208"/>
    <x v="657"/>
    <x v="0"/>
  </r>
  <r>
    <x v="890"/>
    <x v="849"/>
    <x v="38"/>
    <x v="82"/>
    <x v="87"/>
    <x v="0"/>
    <x v="0"/>
    <x v="837"/>
    <x v="1207"/>
    <x v="1244"/>
    <x v="0"/>
  </r>
  <r>
    <x v="891"/>
    <x v="850"/>
    <x v="24"/>
    <x v="49"/>
    <x v="51"/>
    <x v="0"/>
    <x v="0"/>
    <x v="0"/>
    <x v="1208"/>
    <x v="657"/>
    <x v="0"/>
  </r>
  <r>
    <x v="891"/>
    <x v="850"/>
    <x v="38"/>
    <x v="82"/>
    <x v="87"/>
    <x v="0"/>
    <x v="0"/>
    <x v="867"/>
    <x v="1264"/>
    <x v="1254"/>
    <x v="0"/>
  </r>
  <r>
    <x v="892"/>
    <x v="851"/>
    <x v="24"/>
    <x v="49"/>
    <x v="51"/>
    <x v="0"/>
    <x v="0"/>
    <x v="0"/>
    <x v="1266"/>
    <x v="657"/>
    <x v="0"/>
  </r>
  <r>
    <x v="892"/>
    <x v="851"/>
    <x v="38"/>
    <x v="82"/>
    <x v="87"/>
    <x v="0"/>
    <x v="0"/>
    <x v="837"/>
    <x v="1207"/>
    <x v="1244"/>
    <x v="0"/>
  </r>
  <r>
    <x v="893"/>
    <x v="852"/>
    <x v="24"/>
    <x v="49"/>
    <x v="51"/>
    <x v="0"/>
    <x v="0"/>
    <x v="0"/>
    <x v="1208"/>
    <x v="657"/>
    <x v="0"/>
  </r>
  <r>
    <x v="894"/>
    <x v="853"/>
    <x v="38"/>
    <x v="82"/>
    <x v="87"/>
    <x v="0"/>
    <x v="0"/>
    <x v="854"/>
    <x v="219"/>
    <x v="1342"/>
    <x v="0"/>
  </r>
  <r>
    <x v="895"/>
    <x v="854"/>
    <x v="24"/>
    <x v="49"/>
    <x v="51"/>
    <x v="0"/>
    <x v="0"/>
    <x v="0"/>
    <x v="1291"/>
    <x v="657"/>
    <x v="0"/>
  </r>
  <r>
    <x v="895"/>
    <x v="854"/>
    <x v="38"/>
    <x v="82"/>
    <x v="87"/>
    <x v="0"/>
    <x v="0"/>
    <x v="837"/>
    <x v="1207"/>
    <x v="1244"/>
    <x v="0"/>
  </r>
  <r>
    <x v="896"/>
    <x v="855"/>
    <x v="24"/>
    <x v="49"/>
    <x v="51"/>
    <x v="0"/>
    <x v="0"/>
    <x v="0"/>
    <x v="1208"/>
    <x v="657"/>
    <x v="0"/>
  </r>
  <r>
    <x v="896"/>
    <x v="855"/>
    <x v="38"/>
    <x v="82"/>
    <x v="87"/>
    <x v="0"/>
    <x v="0"/>
    <x v="867"/>
    <x v="1264"/>
    <x v="1254"/>
    <x v="0"/>
  </r>
  <r>
    <x v="897"/>
    <x v="856"/>
    <x v="24"/>
    <x v="49"/>
    <x v="51"/>
    <x v="0"/>
    <x v="0"/>
    <x v="0"/>
    <x v="1266"/>
    <x v="657"/>
    <x v="0"/>
  </r>
  <r>
    <x v="897"/>
    <x v="856"/>
    <x v="38"/>
    <x v="82"/>
    <x v="87"/>
    <x v="0"/>
    <x v="0"/>
    <x v="837"/>
    <x v="1207"/>
    <x v="1244"/>
    <x v="0"/>
  </r>
  <r>
    <x v="898"/>
    <x v="857"/>
    <x v="24"/>
    <x v="49"/>
    <x v="51"/>
    <x v="0"/>
    <x v="0"/>
    <x v="0"/>
    <x v="1208"/>
    <x v="657"/>
    <x v="0"/>
  </r>
  <r>
    <x v="898"/>
    <x v="857"/>
    <x v="38"/>
    <x v="82"/>
    <x v="87"/>
    <x v="0"/>
    <x v="0"/>
    <x v="837"/>
    <x v="1207"/>
    <x v="1244"/>
    <x v="0"/>
  </r>
  <r>
    <x v="899"/>
    <x v="858"/>
    <x v="24"/>
    <x v="49"/>
    <x v="51"/>
    <x v="0"/>
    <x v="0"/>
    <x v="0"/>
    <x v="1208"/>
    <x v="657"/>
    <x v="0"/>
  </r>
  <r>
    <x v="899"/>
    <x v="858"/>
    <x v="38"/>
    <x v="82"/>
    <x v="87"/>
    <x v="0"/>
    <x v="0"/>
    <x v="837"/>
    <x v="1207"/>
    <x v="1244"/>
    <x v="0"/>
  </r>
  <r>
    <x v="900"/>
    <x v="859"/>
    <x v="24"/>
    <x v="49"/>
    <x v="51"/>
    <x v="0"/>
    <x v="0"/>
    <x v="0"/>
    <x v="1208"/>
    <x v="657"/>
    <x v="0"/>
  </r>
  <r>
    <x v="900"/>
    <x v="859"/>
    <x v="38"/>
    <x v="82"/>
    <x v="87"/>
    <x v="0"/>
    <x v="0"/>
    <x v="837"/>
    <x v="1207"/>
    <x v="1244"/>
    <x v="0"/>
  </r>
  <r>
    <x v="901"/>
    <x v="860"/>
    <x v="24"/>
    <x v="49"/>
    <x v="51"/>
    <x v="0"/>
    <x v="0"/>
    <x v="0"/>
    <x v="1208"/>
    <x v="657"/>
    <x v="0"/>
  </r>
  <r>
    <x v="901"/>
    <x v="860"/>
    <x v="38"/>
    <x v="82"/>
    <x v="87"/>
    <x v="0"/>
    <x v="0"/>
    <x v="867"/>
    <x v="1264"/>
    <x v="1254"/>
    <x v="0"/>
  </r>
  <r>
    <x v="902"/>
    <x v="861"/>
    <x v="24"/>
    <x v="49"/>
    <x v="51"/>
    <x v="0"/>
    <x v="0"/>
    <x v="0"/>
    <x v="1266"/>
    <x v="657"/>
    <x v="0"/>
  </r>
  <r>
    <x v="902"/>
    <x v="861"/>
    <x v="38"/>
    <x v="82"/>
    <x v="87"/>
    <x v="0"/>
    <x v="0"/>
    <x v="837"/>
    <x v="1207"/>
    <x v="1244"/>
    <x v="0"/>
  </r>
  <r>
    <x v="903"/>
    <x v="862"/>
    <x v="24"/>
    <x v="49"/>
    <x v="51"/>
    <x v="0"/>
    <x v="235"/>
    <x v="0"/>
    <x v="1292"/>
    <x v="1343"/>
    <x v="0"/>
  </r>
  <r>
    <x v="903"/>
    <x v="862"/>
    <x v="2"/>
    <x v="86"/>
    <x v="92"/>
    <x v="145"/>
    <x v="57"/>
    <x v="880"/>
    <x v="1293"/>
    <x v="657"/>
    <x v="56"/>
  </r>
  <r>
    <x v="903"/>
    <x v="862"/>
    <x v="38"/>
    <x v="82"/>
    <x v="87"/>
    <x v="0"/>
    <x v="0"/>
    <x v="837"/>
    <x v="1207"/>
    <x v="1244"/>
    <x v="0"/>
  </r>
  <r>
    <x v="904"/>
    <x v="863"/>
    <x v="23"/>
    <x v="49"/>
    <x v="51"/>
    <x v="0"/>
    <x v="0"/>
    <x v="0"/>
    <x v="1294"/>
    <x v="1344"/>
    <x v="0"/>
  </r>
  <r>
    <x v="904"/>
    <x v="863"/>
    <x v="3"/>
    <x v="86"/>
    <x v="92"/>
    <x v="308"/>
    <x v="57"/>
    <x v="881"/>
    <x v="1295"/>
    <x v="657"/>
    <x v="0"/>
  </r>
  <r>
    <x v="904"/>
    <x v="863"/>
    <x v="38"/>
    <x v="82"/>
    <x v="87"/>
    <x v="0"/>
    <x v="0"/>
    <x v="837"/>
    <x v="1207"/>
    <x v="1244"/>
    <x v="0"/>
  </r>
  <r>
    <x v="905"/>
    <x v="864"/>
    <x v="24"/>
    <x v="49"/>
    <x v="51"/>
    <x v="0"/>
    <x v="0"/>
    <x v="0"/>
    <x v="1208"/>
    <x v="657"/>
    <x v="0"/>
  </r>
  <r>
    <x v="905"/>
    <x v="864"/>
    <x v="38"/>
    <x v="82"/>
    <x v="87"/>
    <x v="0"/>
    <x v="0"/>
    <x v="837"/>
    <x v="1207"/>
    <x v="1244"/>
    <x v="0"/>
  </r>
  <r>
    <x v="906"/>
    <x v="865"/>
    <x v="24"/>
    <x v="49"/>
    <x v="51"/>
    <x v="0"/>
    <x v="0"/>
    <x v="0"/>
    <x v="1208"/>
    <x v="657"/>
    <x v="0"/>
  </r>
  <r>
    <x v="906"/>
    <x v="865"/>
    <x v="38"/>
    <x v="82"/>
    <x v="87"/>
    <x v="0"/>
    <x v="0"/>
    <x v="867"/>
    <x v="1264"/>
    <x v="1254"/>
    <x v="0"/>
  </r>
  <r>
    <x v="907"/>
    <x v="866"/>
    <x v="24"/>
    <x v="49"/>
    <x v="51"/>
    <x v="0"/>
    <x v="0"/>
    <x v="0"/>
    <x v="1266"/>
    <x v="657"/>
    <x v="0"/>
  </r>
  <r>
    <x v="907"/>
    <x v="866"/>
    <x v="38"/>
    <x v="82"/>
    <x v="87"/>
    <x v="0"/>
    <x v="0"/>
    <x v="837"/>
    <x v="1207"/>
    <x v="1244"/>
    <x v="0"/>
  </r>
  <r>
    <x v="908"/>
    <x v="867"/>
    <x v="24"/>
    <x v="49"/>
    <x v="51"/>
    <x v="0"/>
    <x v="0"/>
    <x v="0"/>
    <x v="1208"/>
    <x v="657"/>
    <x v="0"/>
  </r>
  <r>
    <x v="908"/>
    <x v="867"/>
    <x v="38"/>
    <x v="82"/>
    <x v="87"/>
    <x v="0"/>
    <x v="0"/>
    <x v="837"/>
    <x v="1207"/>
    <x v="1244"/>
    <x v="0"/>
  </r>
  <r>
    <x v="909"/>
    <x v="868"/>
    <x v="24"/>
    <x v="49"/>
    <x v="51"/>
    <x v="0"/>
    <x v="0"/>
    <x v="0"/>
    <x v="1208"/>
    <x v="657"/>
    <x v="0"/>
  </r>
  <r>
    <x v="909"/>
    <x v="868"/>
    <x v="38"/>
    <x v="82"/>
    <x v="87"/>
    <x v="0"/>
    <x v="0"/>
    <x v="837"/>
    <x v="1207"/>
    <x v="1244"/>
    <x v="0"/>
  </r>
  <r>
    <x v="910"/>
    <x v="869"/>
    <x v="24"/>
    <x v="49"/>
    <x v="51"/>
    <x v="0"/>
    <x v="0"/>
    <x v="0"/>
    <x v="1208"/>
    <x v="657"/>
    <x v="0"/>
  </r>
  <r>
    <x v="910"/>
    <x v="869"/>
    <x v="38"/>
    <x v="82"/>
    <x v="87"/>
    <x v="0"/>
    <x v="0"/>
    <x v="837"/>
    <x v="1207"/>
    <x v="1244"/>
    <x v="0"/>
  </r>
  <r>
    <x v="911"/>
    <x v="870"/>
    <x v="24"/>
    <x v="49"/>
    <x v="51"/>
    <x v="0"/>
    <x v="236"/>
    <x v="0"/>
    <x v="1296"/>
    <x v="1345"/>
    <x v="0"/>
  </r>
  <r>
    <x v="911"/>
    <x v="870"/>
    <x v="2"/>
    <x v="87"/>
    <x v="93"/>
    <x v="738"/>
    <x v="13"/>
    <x v="452"/>
    <x v="1297"/>
    <x v="657"/>
    <x v="11"/>
  </r>
  <r>
    <x v="911"/>
    <x v="870"/>
    <x v="38"/>
    <x v="82"/>
    <x v="87"/>
    <x v="0"/>
    <x v="0"/>
    <x v="829"/>
    <x v="1190"/>
    <x v="1346"/>
    <x v="0"/>
  </r>
  <r>
    <x v="912"/>
    <x v="871"/>
    <x v="24"/>
    <x v="49"/>
    <x v="51"/>
    <x v="0"/>
    <x v="0"/>
    <x v="0"/>
    <x v="1298"/>
    <x v="657"/>
    <x v="0"/>
  </r>
  <r>
    <x v="912"/>
    <x v="871"/>
    <x v="38"/>
    <x v="82"/>
    <x v="87"/>
    <x v="0"/>
    <x v="0"/>
    <x v="837"/>
    <x v="1207"/>
    <x v="1244"/>
    <x v="0"/>
  </r>
  <r>
    <x v="913"/>
    <x v="872"/>
    <x v="24"/>
    <x v="49"/>
    <x v="51"/>
    <x v="0"/>
    <x v="0"/>
    <x v="0"/>
    <x v="1208"/>
    <x v="657"/>
    <x v="0"/>
  </r>
  <r>
    <x v="913"/>
    <x v="872"/>
    <x v="38"/>
    <x v="82"/>
    <x v="87"/>
    <x v="0"/>
    <x v="0"/>
    <x v="837"/>
    <x v="1207"/>
    <x v="1244"/>
    <x v="0"/>
  </r>
  <r>
    <x v="914"/>
    <x v="873"/>
    <x v="5"/>
    <x v="1"/>
    <x v="1"/>
    <x v="0"/>
    <x v="0"/>
    <x v="0"/>
    <x v="1299"/>
    <x v="1347"/>
    <x v="0"/>
  </r>
  <r>
    <x v="914"/>
    <x v="873"/>
    <x v="24"/>
    <x v="49"/>
    <x v="51"/>
    <x v="0"/>
    <x v="0"/>
    <x v="0"/>
    <x v="1208"/>
    <x v="1348"/>
    <x v="0"/>
  </r>
  <r>
    <x v="914"/>
    <x v="873"/>
    <x v="38"/>
    <x v="82"/>
    <x v="87"/>
    <x v="0"/>
    <x v="0"/>
    <x v="837"/>
    <x v="1207"/>
    <x v="1347"/>
    <x v="0"/>
  </r>
  <r>
    <x v="915"/>
    <x v="874"/>
    <x v="23"/>
    <x v="49"/>
    <x v="51"/>
    <x v="0"/>
    <x v="0"/>
    <x v="0"/>
    <x v="1300"/>
    <x v="1349"/>
    <x v="0"/>
  </r>
  <r>
    <x v="915"/>
    <x v="874"/>
    <x v="3"/>
    <x v="87"/>
    <x v="93"/>
    <x v="739"/>
    <x v="13"/>
    <x v="882"/>
    <x v="1301"/>
    <x v="657"/>
    <x v="0"/>
  </r>
  <r>
    <x v="915"/>
    <x v="874"/>
    <x v="38"/>
    <x v="82"/>
    <x v="87"/>
    <x v="0"/>
    <x v="0"/>
    <x v="867"/>
    <x v="1264"/>
    <x v="1254"/>
    <x v="0"/>
  </r>
  <r>
    <x v="916"/>
    <x v="875"/>
    <x v="24"/>
    <x v="49"/>
    <x v="51"/>
    <x v="0"/>
    <x v="0"/>
    <x v="0"/>
    <x v="1266"/>
    <x v="657"/>
    <x v="0"/>
  </r>
  <r>
    <x v="916"/>
    <x v="97"/>
    <x v="25"/>
    <x v="49"/>
    <x v="91"/>
    <x v="0"/>
    <x v="0"/>
    <x v="883"/>
    <x v="1302"/>
    <x v="1350"/>
    <x v="0"/>
  </r>
  <r>
    <x v="916"/>
    <x v="875"/>
    <x v="38"/>
    <x v="82"/>
    <x v="87"/>
    <x v="0"/>
    <x v="0"/>
    <x v="837"/>
    <x v="1207"/>
    <x v="1351"/>
    <x v="0"/>
  </r>
  <r>
    <x v="917"/>
    <x v="876"/>
    <x v="24"/>
    <x v="49"/>
    <x v="51"/>
    <x v="0"/>
    <x v="237"/>
    <x v="0"/>
    <x v="1303"/>
    <x v="1352"/>
    <x v="0"/>
  </r>
  <r>
    <x v="917"/>
    <x v="876"/>
    <x v="2"/>
    <x v="84"/>
    <x v="89"/>
    <x v="740"/>
    <x v="13"/>
    <x v="357"/>
    <x v="1304"/>
    <x v="657"/>
    <x v="11"/>
  </r>
  <r>
    <x v="917"/>
    <x v="876"/>
    <x v="38"/>
    <x v="82"/>
    <x v="87"/>
    <x v="0"/>
    <x v="0"/>
    <x v="837"/>
    <x v="1207"/>
    <x v="1244"/>
    <x v="0"/>
  </r>
  <r>
    <x v="918"/>
    <x v="877"/>
    <x v="23"/>
    <x v="49"/>
    <x v="51"/>
    <x v="0"/>
    <x v="0"/>
    <x v="0"/>
    <x v="1305"/>
    <x v="1353"/>
    <x v="0"/>
  </r>
  <r>
    <x v="918"/>
    <x v="877"/>
    <x v="3"/>
    <x v="84"/>
    <x v="89"/>
    <x v="741"/>
    <x v="13"/>
    <x v="884"/>
    <x v="1306"/>
    <x v="657"/>
    <x v="0"/>
  </r>
  <r>
    <x v="918"/>
    <x v="877"/>
    <x v="38"/>
    <x v="82"/>
    <x v="87"/>
    <x v="0"/>
    <x v="0"/>
    <x v="837"/>
    <x v="1207"/>
    <x v="1244"/>
    <x v="0"/>
  </r>
  <r>
    <x v="919"/>
    <x v="878"/>
    <x v="24"/>
    <x v="49"/>
    <x v="51"/>
    <x v="0"/>
    <x v="0"/>
    <x v="0"/>
    <x v="1208"/>
    <x v="657"/>
    <x v="0"/>
  </r>
  <r>
    <x v="919"/>
    <x v="878"/>
    <x v="38"/>
    <x v="82"/>
    <x v="87"/>
    <x v="0"/>
    <x v="0"/>
    <x v="837"/>
    <x v="1207"/>
    <x v="1244"/>
    <x v="0"/>
  </r>
  <r>
    <x v="920"/>
    <x v="879"/>
    <x v="24"/>
    <x v="49"/>
    <x v="51"/>
    <x v="0"/>
    <x v="0"/>
    <x v="0"/>
    <x v="1208"/>
    <x v="657"/>
    <x v="0"/>
  </r>
  <r>
    <x v="920"/>
    <x v="879"/>
    <x v="38"/>
    <x v="82"/>
    <x v="87"/>
    <x v="0"/>
    <x v="0"/>
    <x v="867"/>
    <x v="1264"/>
    <x v="1254"/>
    <x v="0"/>
  </r>
  <r>
    <x v="921"/>
    <x v="880"/>
    <x v="24"/>
    <x v="49"/>
    <x v="51"/>
    <x v="0"/>
    <x v="0"/>
    <x v="0"/>
    <x v="1266"/>
    <x v="657"/>
    <x v="0"/>
  </r>
  <r>
    <x v="921"/>
    <x v="880"/>
    <x v="41"/>
    <x v="81"/>
    <x v="88"/>
    <x v="742"/>
    <x v="230"/>
    <x v="885"/>
    <x v="1307"/>
    <x v="1354"/>
    <x v="150"/>
  </r>
  <r>
    <x v="921"/>
    <x v="880"/>
    <x v="38"/>
    <x v="82"/>
    <x v="87"/>
    <x v="0"/>
    <x v="0"/>
    <x v="837"/>
    <x v="1207"/>
    <x v="1355"/>
    <x v="0"/>
  </r>
  <r>
    <x v="922"/>
    <x v="881"/>
    <x v="23"/>
    <x v="49"/>
    <x v="51"/>
    <x v="0"/>
    <x v="0"/>
    <x v="0"/>
    <x v="1308"/>
    <x v="657"/>
    <x v="0"/>
  </r>
  <r>
    <x v="922"/>
    <x v="881"/>
    <x v="38"/>
    <x v="82"/>
    <x v="87"/>
    <x v="0"/>
    <x v="0"/>
    <x v="837"/>
    <x v="1207"/>
    <x v="1244"/>
    <x v="0"/>
  </r>
  <r>
    <x v="923"/>
    <x v="882"/>
    <x v="24"/>
    <x v="49"/>
    <x v="51"/>
    <x v="0"/>
    <x v="0"/>
    <x v="0"/>
    <x v="1208"/>
    <x v="657"/>
    <x v="0"/>
  </r>
  <r>
    <x v="924"/>
    <x v="883"/>
    <x v="38"/>
    <x v="82"/>
    <x v="87"/>
    <x v="0"/>
    <x v="0"/>
    <x v="886"/>
    <x v="219"/>
    <x v="1342"/>
    <x v="0"/>
  </r>
  <r>
    <x v="925"/>
    <x v="884"/>
    <x v="24"/>
    <x v="49"/>
    <x v="51"/>
    <x v="0"/>
    <x v="0"/>
    <x v="0"/>
    <x v="1291"/>
    <x v="657"/>
    <x v="0"/>
  </r>
  <r>
    <x v="925"/>
    <x v="884"/>
    <x v="38"/>
    <x v="82"/>
    <x v="87"/>
    <x v="0"/>
    <x v="0"/>
    <x v="887"/>
    <x v="1264"/>
    <x v="1254"/>
    <x v="0"/>
  </r>
  <r>
    <x v="926"/>
    <x v="885"/>
    <x v="24"/>
    <x v="49"/>
    <x v="51"/>
    <x v="0"/>
    <x v="238"/>
    <x v="0"/>
    <x v="1309"/>
    <x v="1356"/>
    <x v="0"/>
  </r>
  <r>
    <x v="926"/>
    <x v="885"/>
    <x v="2"/>
    <x v="26"/>
    <x v="27"/>
    <x v="743"/>
    <x v="239"/>
    <x v="888"/>
    <x v="1310"/>
    <x v="657"/>
    <x v="153"/>
  </r>
  <r>
    <x v="926"/>
    <x v="885"/>
    <x v="38"/>
    <x v="82"/>
    <x v="87"/>
    <x v="0"/>
    <x v="0"/>
    <x v="889"/>
    <x v="1207"/>
    <x v="1244"/>
    <x v="0"/>
  </r>
  <r>
    <x v="927"/>
    <x v="886"/>
    <x v="23"/>
    <x v="49"/>
    <x v="51"/>
    <x v="0"/>
    <x v="0"/>
    <x v="0"/>
    <x v="1311"/>
    <x v="1357"/>
    <x v="0"/>
  </r>
  <r>
    <x v="927"/>
    <x v="886"/>
    <x v="3"/>
    <x v="26"/>
    <x v="27"/>
    <x v="744"/>
    <x v="26"/>
    <x v="890"/>
    <x v="1312"/>
    <x v="1358"/>
    <x v="32"/>
  </r>
  <r>
    <x v="927"/>
    <x v="886"/>
    <x v="3"/>
    <x v="26"/>
    <x v="27"/>
    <x v="745"/>
    <x v="26"/>
    <x v="891"/>
    <x v="1313"/>
    <x v="1359"/>
    <x v="154"/>
  </r>
  <r>
    <x v="927"/>
    <x v="886"/>
    <x v="38"/>
    <x v="82"/>
    <x v="87"/>
    <x v="0"/>
    <x v="0"/>
    <x v="889"/>
    <x v="1207"/>
    <x v="1360"/>
    <x v="0"/>
  </r>
  <r>
    <x v="928"/>
    <x v="887"/>
    <x v="24"/>
    <x v="49"/>
    <x v="51"/>
    <x v="0"/>
    <x v="240"/>
    <x v="0"/>
    <x v="1314"/>
    <x v="1361"/>
    <x v="0"/>
  </r>
  <r>
    <x v="928"/>
    <x v="887"/>
    <x v="2"/>
    <x v="26"/>
    <x v="27"/>
    <x v="744"/>
    <x v="26"/>
    <x v="890"/>
    <x v="1315"/>
    <x v="1362"/>
    <x v="32"/>
  </r>
  <r>
    <x v="928"/>
    <x v="887"/>
    <x v="2"/>
    <x v="26"/>
    <x v="27"/>
    <x v="746"/>
    <x v="26"/>
    <x v="892"/>
    <x v="1316"/>
    <x v="657"/>
    <x v="153"/>
  </r>
  <r>
    <x v="928"/>
    <x v="887"/>
    <x v="38"/>
    <x v="82"/>
    <x v="87"/>
    <x v="0"/>
    <x v="0"/>
    <x v="889"/>
    <x v="1207"/>
    <x v="1244"/>
    <x v="0"/>
  </r>
  <r>
    <x v="929"/>
    <x v="888"/>
    <x v="23"/>
    <x v="49"/>
    <x v="51"/>
    <x v="0"/>
    <x v="0"/>
    <x v="0"/>
    <x v="1317"/>
    <x v="1363"/>
    <x v="0"/>
  </r>
  <r>
    <x v="929"/>
    <x v="888"/>
    <x v="3"/>
    <x v="26"/>
    <x v="27"/>
    <x v="747"/>
    <x v="239"/>
    <x v="893"/>
    <x v="1318"/>
    <x v="657"/>
    <x v="0"/>
  </r>
  <r>
    <x v="929"/>
    <x v="888"/>
    <x v="38"/>
    <x v="82"/>
    <x v="87"/>
    <x v="0"/>
    <x v="0"/>
    <x v="894"/>
    <x v="1232"/>
    <x v="1189"/>
    <x v="0"/>
  </r>
  <r>
    <x v="930"/>
    <x v="889"/>
    <x v="24"/>
    <x v="49"/>
    <x v="51"/>
    <x v="0"/>
    <x v="0"/>
    <x v="0"/>
    <x v="1233"/>
    <x v="657"/>
    <x v="0"/>
  </r>
  <r>
    <x v="930"/>
    <x v="889"/>
    <x v="38"/>
    <x v="82"/>
    <x v="87"/>
    <x v="0"/>
    <x v="0"/>
    <x v="895"/>
    <x v="1249"/>
    <x v="1236"/>
    <x v="0"/>
  </r>
  <r>
    <x v="931"/>
    <x v="890"/>
    <x v="24"/>
    <x v="49"/>
    <x v="51"/>
    <x v="0"/>
    <x v="241"/>
    <x v="0"/>
    <x v="1319"/>
    <x v="1364"/>
    <x v="0"/>
  </r>
  <r>
    <x v="931"/>
    <x v="890"/>
    <x v="2"/>
    <x v="88"/>
    <x v="94"/>
    <x v="748"/>
    <x v="65"/>
    <x v="415"/>
    <x v="490"/>
    <x v="657"/>
    <x v="20"/>
  </r>
  <r>
    <x v="931"/>
    <x v="890"/>
    <x v="38"/>
    <x v="82"/>
    <x v="87"/>
    <x v="0"/>
    <x v="0"/>
    <x v="894"/>
    <x v="1232"/>
    <x v="1189"/>
    <x v="0"/>
  </r>
  <r>
    <x v="932"/>
    <x v="891"/>
    <x v="24"/>
    <x v="49"/>
    <x v="51"/>
    <x v="0"/>
    <x v="0"/>
    <x v="0"/>
    <x v="1233"/>
    <x v="657"/>
    <x v="0"/>
  </r>
  <r>
    <x v="932"/>
    <x v="891"/>
    <x v="6"/>
    <x v="88"/>
    <x v="94"/>
    <x v="0"/>
    <x v="0"/>
    <x v="896"/>
    <x v="1320"/>
    <x v="712"/>
    <x v="0"/>
  </r>
  <r>
    <x v="932"/>
    <x v="891"/>
    <x v="38"/>
    <x v="82"/>
    <x v="87"/>
    <x v="0"/>
    <x v="0"/>
    <x v="889"/>
    <x v="1207"/>
    <x v="1365"/>
    <x v="0"/>
  </r>
  <r>
    <x v="933"/>
    <x v="892"/>
    <x v="38"/>
    <x v="82"/>
    <x v="87"/>
    <x v="0"/>
    <x v="0"/>
    <x v="889"/>
    <x v="1207"/>
    <x v="1366"/>
    <x v="0"/>
  </r>
  <r>
    <x v="934"/>
    <x v="893"/>
    <x v="38"/>
    <x v="82"/>
    <x v="87"/>
    <x v="0"/>
    <x v="0"/>
    <x v="889"/>
    <x v="1207"/>
    <x v="1367"/>
    <x v="0"/>
  </r>
  <r>
    <x v="935"/>
    <x v="894"/>
    <x v="38"/>
    <x v="82"/>
    <x v="87"/>
    <x v="0"/>
    <x v="0"/>
    <x v="887"/>
    <x v="1264"/>
    <x v="1368"/>
    <x v="0"/>
  </r>
  <r>
    <x v="936"/>
    <x v="895"/>
    <x v="24"/>
    <x v="49"/>
    <x v="51"/>
    <x v="0"/>
    <x v="242"/>
    <x v="0"/>
    <x v="1321"/>
    <x v="1369"/>
    <x v="0"/>
  </r>
  <r>
    <x v="936"/>
    <x v="895"/>
    <x v="38"/>
    <x v="82"/>
    <x v="87"/>
    <x v="0"/>
    <x v="0"/>
    <x v="894"/>
    <x v="1232"/>
    <x v="1370"/>
    <x v="0"/>
  </r>
  <r>
    <x v="937"/>
    <x v="896"/>
    <x v="24"/>
    <x v="49"/>
    <x v="51"/>
    <x v="0"/>
    <x v="0"/>
    <x v="0"/>
    <x v="1233"/>
    <x v="1369"/>
    <x v="0"/>
  </r>
  <r>
    <x v="937"/>
    <x v="896"/>
    <x v="38"/>
    <x v="82"/>
    <x v="87"/>
    <x v="0"/>
    <x v="0"/>
    <x v="894"/>
    <x v="1232"/>
    <x v="1370"/>
    <x v="0"/>
  </r>
  <r>
    <x v="938"/>
    <x v="897"/>
    <x v="24"/>
    <x v="49"/>
    <x v="51"/>
    <x v="0"/>
    <x v="0"/>
    <x v="0"/>
    <x v="1233"/>
    <x v="1369"/>
    <x v="0"/>
  </r>
  <r>
    <x v="938"/>
    <x v="897"/>
    <x v="38"/>
    <x v="82"/>
    <x v="87"/>
    <x v="0"/>
    <x v="0"/>
    <x v="894"/>
    <x v="1232"/>
    <x v="1370"/>
    <x v="0"/>
  </r>
  <r>
    <x v="939"/>
    <x v="898"/>
    <x v="24"/>
    <x v="49"/>
    <x v="51"/>
    <x v="0"/>
    <x v="243"/>
    <x v="0"/>
    <x v="1322"/>
    <x v="1371"/>
    <x v="0"/>
  </r>
  <r>
    <x v="939"/>
    <x v="898"/>
    <x v="38"/>
    <x v="82"/>
    <x v="87"/>
    <x v="0"/>
    <x v="0"/>
    <x v="894"/>
    <x v="1232"/>
    <x v="1372"/>
    <x v="0"/>
  </r>
  <r>
    <x v="940"/>
    <x v="899"/>
    <x v="23"/>
    <x v="49"/>
    <x v="51"/>
    <x v="0"/>
    <x v="0"/>
    <x v="0"/>
    <x v="1323"/>
    <x v="1373"/>
    <x v="0"/>
  </r>
  <r>
    <x v="940"/>
    <x v="899"/>
    <x v="2"/>
    <x v="80"/>
    <x v="83"/>
    <x v="622"/>
    <x v="65"/>
    <x v="897"/>
    <x v="1324"/>
    <x v="1374"/>
    <x v="20"/>
  </r>
  <r>
    <x v="940"/>
    <x v="899"/>
    <x v="38"/>
    <x v="82"/>
    <x v="87"/>
    <x v="0"/>
    <x v="0"/>
    <x v="895"/>
    <x v="1249"/>
    <x v="1375"/>
    <x v="0"/>
  </r>
  <r>
    <x v="941"/>
    <x v="900"/>
    <x v="3"/>
    <x v="80"/>
    <x v="83"/>
    <x v="749"/>
    <x v="65"/>
    <x v="898"/>
    <x v="1325"/>
    <x v="1376"/>
    <x v="0"/>
  </r>
  <r>
    <x v="941"/>
    <x v="900"/>
    <x v="2"/>
    <x v="80"/>
    <x v="83"/>
    <x v="622"/>
    <x v="65"/>
    <x v="897"/>
    <x v="1324"/>
    <x v="1377"/>
    <x v="20"/>
  </r>
  <r>
    <x v="941"/>
    <x v="900"/>
    <x v="38"/>
    <x v="82"/>
    <x v="87"/>
    <x v="0"/>
    <x v="0"/>
    <x v="894"/>
    <x v="1232"/>
    <x v="1378"/>
    <x v="0"/>
  </r>
  <r>
    <x v="942"/>
    <x v="901"/>
    <x v="24"/>
    <x v="49"/>
    <x v="51"/>
    <x v="0"/>
    <x v="244"/>
    <x v="0"/>
    <x v="1326"/>
    <x v="1379"/>
    <x v="0"/>
  </r>
  <r>
    <x v="942"/>
    <x v="901"/>
    <x v="2"/>
    <x v="80"/>
    <x v="83"/>
    <x v="750"/>
    <x v="65"/>
    <x v="590"/>
    <x v="1327"/>
    <x v="1380"/>
    <x v="73"/>
  </r>
  <r>
    <x v="942"/>
    <x v="901"/>
    <x v="38"/>
    <x v="82"/>
    <x v="87"/>
    <x v="0"/>
    <x v="0"/>
    <x v="894"/>
    <x v="1232"/>
    <x v="1381"/>
    <x v="0"/>
  </r>
  <r>
    <x v="943"/>
    <x v="902"/>
    <x v="24"/>
    <x v="49"/>
    <x v="51"/>
    <x v="0"/>
    <x v="0"/>
    <x v="0"/>
    <x v="1233"/>
    <x v="1380"/>
    <x v="0"/>
  </r>
  <r>
    <x v="943"/>
    <x v="902"/>
    <x v="38"/>
    <x v="82"/>
    <x v="87"/>
    <x v="0"/>
    <x v="0"/>
    <x v="894"/>
    <x v="1232"/>
    <x v="1381"/>
    <x v="0"/>
  </r>
  <r>
    <x v="944"/>
    <x v="903"/>
    <x v="1"/>
    <x v="1"/>
    <x v="1"/>
    <x v="0"/>
    <x v="0"/>
    <x v="0"/>
    <x v="1328"/>
    <x v="1382"/>
    <x v="0"/>
  </r>
  <r>
    <x v="944"/>
    <x v="903"/>
    <x v="24"/>
    <x v="49"/>
    <x v="51"/>
    <x v="0"/>
    <x v="245"/>
    <x v="0"/>
    <x v="1329"/>
    <x v="1383"/>
    <x v="0"/>
  </r>
  <r>
    <x v="944"/>
    <x v="903"/>
    <x v="2"/>
    <x v="80"/>
    <x v="83"/>
    <x v="750"/>
    <x v="30"/>
    <x v="899"/>
    <x v="1330"/>
    <x v="1380"/>
    <x v="65"/>
  </r>
  <r>
    <x v="944"/>
    <x v="903"/>
    <x v="38"/>
    <x v="82"/>
    <x v="87"/>
    <x v="0"/>
    <x v="0"/>
    <x v="894"/>
    <x v="1232"/>
    <x v="1381"/>
    <x v="0"/>
  </r>
  <r>
    <x v="945"/>
    <x v="904"/>
    <x v="23"/>
    <x v="49"/>
    <x v="51"/>
    <x v="0"/>
    <x v="0"/>
    <x v="0"/>
    <x v="1331"/>
    <x v="657"/>
    <x v="0"/>
  </r>
  <r>
    <x v="945"/>
    <x v="904"/>
    <x v="38"/>
    <x v="82"/>
    <x v="87"/>
    <x v="0"/>
    <x v="0"/>
    <x v="900"/>
    <x v="1332"/>
    <x v="1384"/>
    <x v="0"/>
  </r>
  <r>
    <x v="946"/>
    <x v="905"/>
    <x v="24"/>
    <x v="49"/>
    <x v="51"/>
    <x v="0"/>
    <x v="0"/>
    <x v="0"/>
    <x v="1333"/>
    <x v="657"/>
    <x v="0"/>
  </r>
  <r>
    <x v="946"/>
    <x v="905"/>
    <x v="38"/>
    <x v="82"/>
    <x v="87"/>
    <x v="0"/>
    <x v="0"/>
    <x v="894"/>
    <x v="1232"/>
    <x v="1189"/>
    <x v="0"/>
  </r>
  <r>
    <x v="947"/>
    <x v="906"/>
    <x v="24"/>
    <x v="49"/>
    <x v="51"/>
    <x v="0"/>
    <x v="0"/>
    <x v="0"/>
    <x v="1233"/>
    <x v="657"/>
    <x v="0"/>
  </r>
  <r>
    <x v="947"/>
    <x v="906"/>
    <x v="38"/>
    <x v="82"/>
    <x v="87"/>
    <x v="0"/>
    <x v="0"/>
    <x v="894"/>
    <x v="1232"/>
    <x v="1189"/>
    <x v="0"/>
  </r>
  <r>
    <x v="948"/>
    <x v="907"/>
    <x v="3"/>
    <x v="80"/>
    <x v="83"/>
    <x v="622"/>
    <x v="65"/>
    <x v="897"/>
    <x v="1334"/>
    <x v="1385"/>
    <x v="74"/>
  </r>
  <r>
    <x v="948"/>
    <x v="907"/>
    <x v="2"/>
    <x v="80"/>
    <x v="83"/>
    <x v="750"/>
    <x v="65"/>
    <x v="590"/>
    <x v="1327"/>
    <x v="1386"/>
    <x v="65"/>
  </r>
  <r>
    <x v="948"/>
    <x v="907"/>
    <x v="38"/>
    <x v="82"/>
    <x v="87"/>
    <x v="0"/>
    <x v="0"/>
    <x v="894"/>
    <x v="1232"/>
    <x v="1387"/>
    <x v="0"/>
  </r>
  <r>
    <x v="949"/>
    <x v="908"/>
    <x v="23"/>
    <x v="49"/>
    <x v="51"/>
    <x v="0"/>
    <x v="0"/>
    <x v="0"/>
    <x v="1335"/>
    <x v="1388"/>
    <x v="0"/>
  </r>
  <r>
    <x v="949"/>
    <x v="908"/>
    <x v="3"/>
    <x v="88"/>
    <x v="94"/>
    <x v="751"/>
    <x v="65"/>
    <x v="901"/>
    <x v="1336"/>
    <x v="657"/>
    <x v="0"/>
  </r>
  <r>
    <x v="949"/>
    <x v="908"/>
    <x v="38"/>
    <x v="82"/>
    <x v="87"/>
    <x v="0"/>
    <x v="0"/>
    <x v="894"/>
    <x v="1232"/>
    <x v="1189"/>
    <x v="0"/>
  </r>
  <r>
    <x v="950"/>
    <x v="909"/>
    <x v="24"/>
    <x v="49"/>
    <x v="51"/>
    <x v="0"/>
    <x v="246"/>
    <x v="0"/>
    <x v="1337"/>
    <x v="1389"/>
    <x v="0"/>
  </r>
  <r>
    <x v="950"/>
    <x v="909"/>
    <x v="38"/>
    <x v="82"/>
    <x v="87"/>
    <x v="0"/>
    <x v="0"/>
    <x v="900"/>
    <x v="1332"/>
    <x v="1390"/>
    <x v="0"/>
  </r>
  <r>
    <x v="951"/>
    <x v="97"/>
    <x v="9"/>
    <x v="88"/>
    <x v="94"/>
    <x v="0"/>
    <x v="0"/>
    <x v="0"/>
    <x v="1338"/>
    <x v="1391"/>
    <x v="0"/>
  </r>
  <r>
    <x v="951"/>
    <x v="910"/>
    <x v="24"/>
    <x v="49"/>
    <x v="51"/>
    <x v="0"/>
    <x v="15"/>
    <x v="0"/>
    <x v="1339"/>
    <x v="1380"/>
    <x v="0"/>
  </r>
  <r>
    <x v="951"/>
    <x v="910"/>
    <x v="38"/>
    <x v="82"/>
    <x v="87"/>
    <x v="0"/>
    <x v="0"/>
    <x v="894"/>
    <x v="1232"/>
    <x v="1381"/>
    <x v="0"/>
  </r>
  <r>
    <x v="952"/>
    <x v="911"/>
    <x v="23"/>
    <x v="49"/>
    <x v="51"/>
    <x v="0"/>
    <x v="0"/>
    <x v="0"/>
    <x v="1340"/>
    <x v="1392"/>
    <x v="0"/>
  </r>
  <r>
    <x v="952"/>
    <x v="911"/>
    <x v="3"/>
    <x v="80"/>
    <x v="83"/>
    <x v="622"/>
    <x v="65"/>
    <x v="897"/>
    <x v="1334"/>
    <x v="1374"/>
    <x v="74"/>
  </r>
  <r>
    <x v="952"/>
    <x v="911"/>
    <x v="41"/>
    <x v="85"/>
    <x v="90"/>
    <x v="674"/>
    <x v="87"/>
    <x v="902"/>
    <x v="0"/>
    <x v="1393"/>
    <x v="101"/>
  </r>
  <r>
    <x v="952"/>
    <x v="911"/>
    <x v="38"/>
    <x v="82"/>
    <x v="87"/>
    <x v="0"/>
    <x v="0"/>
    <x v="894"/>
    <x v="1232"/>
    <x v="1394"/>
    <x v="0"/>
  </r>
  <r>
    <x v="953"/>
    <x v="912"/>
    <x v="23"/>
    <x v="49"/>
    <x v="51"/>
    <x v="0"/>
    <x v="0"/>
    <x v="0"/>
    <x v="1341"/>
    <x v="1395"/>
    <x v="0"/>
  </r>
  <r>
    <x v="953"/>
    <x v="912"/>
    <x v="3"/>
    <x v="80"/>
    <x v="83"/>
    <x v="749"/>
    <x v="65"/>
    <x v="898"/>
    <x v="1325"/>
    <x v="1369"/>
    <x v="34"/>
  </r>
  <r>
    <x v="953"/>
    <x v="912"/>
    <x v="38"/>
    <x v="82"/>
    <x v="87"/>
    <x v="0"/>
    <x v="0"/>
    <x v="894"/>
    <x v="1232"/>
    <x v="1370"/>
    <x v="0"/>
  </r>
  <r>
    <x v="954"/>
    <x v="913"/>
    <x v="24"/>
    <x v="49"/>
    <x v="51"/>
    <x v="0"/>
    <x v="247"/>
    <x v="0"/>
    <x v="1342"/>
    <x v="1373"/>
    <x v="0"/>
  </r>
  <r>
    <x v="954"/>
    <x v="913"/>
    <x v="2"/>
    <x v="80"/>
    <x v="83"/>
    <x v="622"/>
    <x v="65"/>
    <x v="897"/>
    <x v="1324"/>
    <x v="1374"/>
    <x v="74"/>
  </r>
  <r>
    <x v="954"/>
    <x v="913"/>
    <x v="38"/>
    <x v="82"/>
    <x v="87"/>
    <x v="0"/>
    <x v="0"/>
    <x v="894"/>
    <x v="1232"/>
    <x v="1396"/>
    <x v="0"/>
  </r>
  <r>
    <x v="955"/>
    <x v="914"/>
    <x v="23"/>
    <x v="49"/>
    <x v="51"/>
    <x v="0"/>
    <x v="0"/>
    <x v="0"/>
    <x v="1343"/>
    <x v="1395"/>
    <x v="0"/>
  </r>
  <r>
    <x v="955"/>
    <x v="914"/>
    <x v="3"/>
    <x v="80"/>
    <x v="83"/>
    <x v="749"/>
    <x v="65"/>
    <x v="898"/>
    <x v="1325"/>
    <x v="1369"/>
    <x v="34"/>
  </r>
  <r>
    <x v="955"/>
    <x v="914"/>
    <x v="38"/>
    <x v="82"/>
    <x v="87"/>
    <x v="0"/>
    <x v="0"/>
    <x v="900"/>
    <x v="1332"/>
    <x v="1397"/>
    <x v="0"/>
  </r>
  <r>
    <x v="956"/>
    <x v="915"/>
    <x v="3"/>
    <x v="80"/>
    <x v="83"/>
    <x v="752"/>
    <x v="65"/>
    <x v="903"/>
    <x v="1344"/>
    <x v="1398"/>
    <x v="19"/>
  </r>
  <r>
    <x v="956"/>
    <x v="915"/>
    <x v="2"/>
    <x v="80"/>
    <x v="83"/>
    <x v="749"/>
    <x v="65"/>
    <x v="898"/>
    <x v="1345"/>
    <x v="1399"/>
    <x v="34"/>
  </r>
  <r>
    <x v="956"/>
    <x v="915"/>
    <x v="38"/>
    <x v="82"/>
    <x v="87"/>
    <x v="0"/>
    <x v="0"/>
    <x v="894"/>
    <x v="1232"/>
    <x v="1400"/>
    <x v="0"/>
  </r>
  <r>
    <x v="957"/>
    <x v="916"/>
    <x v="38"/>
    <x v="82"/>
    <x v="87"/>
    <x v="0"/>
    <x v="0"/>
    <x v="894"/>
    <x v="1232"/>
    <x v="1401"/>
    <x v="0"/>
  </r>
  <r>
    <x v="958"/>
    <x v="917"/>
    <x v="24"/>
    <x v="49"/>
    <x v="51"/>
    <x v="0"/>
    <x v="248"/>
    <x v="0"/>
    <x v="1346"/>
    <x v="1402"/>
    <x v="0"/>
  </r>
  <r>
    <x v="958"/>
    <x v="917"/>
    <x v="2"/>
    <x v="80"/>
    <x v="83"/>
    <x v="751"/>
    <x v="65"/>
    <x v="901"/>
    <x v="1347"/>
    <x v="1403"/>
    <x v="74"/>
  </r>
  <r>
    <x v="958"/>
    <x v="917"/>
    <x v="2"/>
    <x v="80"/>
    <x v="83"/>
    <x v="702"/>
    <x v="65"/>
    <x v="738"/>
    <x v="1348"/>
    <x v="1404"/>
    <x v="65"/>
  </r>
  <r>
    <x v="958"/>
    <x v="917"/>
    <x v="38"/>
    <x v="82"/>
    <x v="87"/>
    <x v="0"/>
    <x v="0"/>
    <x v="894"/>
    <x v="1232"/>
    <x v="1405"/>
    <x v="0"/>
  </r>
  <r>
    <x v="959"/>
    <x v="918"/>
    <x v="24"/>
    <x v="49"/>
    <x v="51"/>
    <x v="0"/>
    <x v="0"/>
    <x v="0"/>
    <x v="1233"/>
    <x v="1404"/>
    <x v="0"/>
  </r>
  <r>
    <x v="959"/>
    <x v="918"/>
    <x v="38"/>
    <x v="82"/>
    <x v="87"/>
    <x v="0"/>
    <x v="0"/>
    <x v="894"/>
    <x v="1232"/>
    <x v="1405"/>
    <x v="0"/>
  </r>
  <r>
    <x v="960"/>
    <x v="919"/>
    <x v="24"/>
    <x v="49"/>
    <x v="51"/>
    <x v="0"/>
    <x v="0"/>
    <x v="0"/>
    <x v="1233"/>
    <x v="1404"/>
    <x v="0"/>
  </r>
  <r>
    <x v="960"/>
    <x v="919"/>
    <x v="38"/>
    <x v="82"/>
    <x v="87"/>
    <x v="0"/>
    <x v="0"/>
    <x v="895"/>
    <x v="1249"/>
    <x v="1406"/>
    <x v="0"/>
  </r>
  <r>
    <x v="961"/>
    <x v="920"/>
    <x v="23"/>
    <x v="49"/>
    <x v="51"/>
    <x v="0"/>
    <x v="0"/>
    <x v="0"/>
    <x v="1349"/>
    <x v="1407"/>
    <x v="0"/>
  </r>
  <r>
    <x v="961"/>
    <x v="920"/>
    <x v="3"/>
    <x v="80"/>
    <x v="83"/>
    <x v="622"/>
    <x v="65"/>
    <x v="897"/>
    <x v="1334"/>
    <x v="1408"/>
    <x v="74"/>
  </r>
  <r>
    <x v="961"/>
    <x v="920"/>
    <x v="38"/>
    <x v="82"/>
    <x v="87"/>
    <x v="0"/>
    <x v="0"/>
    <x v="894"/>
    <x v="1232"/>
    <x v="1409"/>
    <x v="0"/>
  </r>
  <r>
    <x v="962"/>
    <x v="921"/>
    <x v="24"/>
    <x v="49"/>
    <x v="51"/>
    <x v="0"/>
    <x v="0"/>
    <x v="0"/>
    <x v="1233"/>
    <x v="1408"/>
    <x v="0"/>
  </r>
  <r>
    <x v="962"/>
    <x v="921"/>
    <x v="38"/>
    <x v="82"/>
    <x v="87"/>
    <x v="0"/>
    <x v="0"/>
    <x v="894"/>
    <x v="1232"/>
    <x v="1409"/>
    <x v="0"/>
  </r>
  <r>
    <x v="963"/>
    <x v="922"/>
    <x v="23"/>
    <x v="49"/>
    <x v="51"/>
    <x v="0"/>
    <x v="0"/>
    <x v="0"/>
    <x v="1350"/>
    <x v="1410"/>
    <x v="0"/>
  </r>
  <r>
    <x v="963"/>
    <x v="922"/>
    <x v="6"/>
    <x v="51"/>
    <x v="53"/>
    <x v="0"/>
    <x v="0"/>
    <x v="904"/>
    <x v="1351"/>
    <x v="1411"/>
    <x v="0"/>
  </r>
  <r>
    <x v="963"/>
    <x v="922"/>
    <x v="3"/>
    <x v="80"/>
    <x v="83"/>
    <x v="749"/>
    <x v="65"/>
    <x v="898"/>
    <x v="1325"/>
    <x v="1412"/>
    <x v="34"/>
  </r>
  <r>
    <x v="963"/>
    <x v="922"/>
    <x v="38"/>
    <x v="82"/>
    <x v="87"/>
    <x v="0"/>
    <x v="0"/>
    <x v="894"/>
    <x v="1232"/>
    <x v="1413"/>
    <x v="0"/>
  </r>
  <r>
    <x v="964"/>
    <x v="923"/>
    <x v="23"/>
    <x v="49"/>
    <x v="51"/>
    <x v="0"/>
    <x v="0"/>
    <x v="0"/>
    <x v="1352"/>
    <x v="1414"/>
    <x v="0"/>
  </r>
  <r>
    <x v="964"/>
    <x v="923"/>
    <x v="3"/>
    <x v="80"/>
    <x v="83"/>
    <x v="488"/>
    <x v="65"/>
    <x v="585"/>
    <x v="759"/>
    <x v="1415"/>
    <x v="19"/>
  </r>
  <r>
    <x v="964"/>
    <x v="923"/>
    <x v="38"/>
    <x v="82"/>
    <x v="87"/>
    <x v="0"/>
    <x v="0"/>
    <x v="894"/>
    <x v="1232"/>
    <x v="1416"/>
    <x v="0"/>
  </r>
  <r>
    <x v="965"/>
    <x v="924"/>
    <x v="24"/>
    <x v="49"/>
    <x v="51"/>
    <x v="0"/>
    <x v="249"/>
    <x v="0"/>
    <x v="1353"/>
    <x v="1417"/>
    <x v="0"/>
  </r>
  <r>
    <x v="965"/>
    <x v="924"/>
    <x v="3"/>
    <x v="80"/>
    <x v="83"/>
    <x v="753"/>
    <x v="26"/>
    <x v="905"/>
    <x v="1354"/>
    <x v="1418"/>
    <x v="0"/>
  </r>
  <r>
    <x v="965"/>
    <x v="924"/>
    <x v="38"/>
    <x v="82"/>
    <x v="87"/>
    <x v="0"/>
    <x v="0"/>
    <x v="900"/>
    <x v="1332"/>
    <x v="1419"/>
    <x v="0"/>
  </r>
  <r>
    <x v="966"/>
    <x v="925"/>
    <x v="38"/>
    <x v="82"/>
    <x v="87"/>
    <x v="0"/>
    <x v="0"/>
    <x v="894"/>
    <x v="1232"/>
    <x v="1420"/>
    <x v="0"/>
  </r>
  <r>
    <x v="967"/>
    <x v="926"/>
    <x v="24"/>
    <x v="49"/>
    <x v="51"/>
    <x v="0"/>
    <x v="250"/>
    <x v="0"/>
    <x v="1355"/>
    <x v="1421"/>
    <x v="0"/>
  </r>
  <r>
    <x v="967"/>
    <x v="926"/>
    <x v="2"/>
    <x v="51"/>
    <x v="53"/>
    <x v="754"/>
    <x v="65"/>
    <x v="906"/>
    <x v="1356"/>
    <x v="1422"/>
    <x v="95"/>
  </r>
  <r>
    <x v="967"/>
    <x v="924"/>
    <x v="39"/>
    <x v="85"/>
    <x v="90"/>
    <x v="755"/>
    <x v="8"/>
    <x v="907"/>
    <x v="1357"/>
    <x v="1415"/>
    <x v="19"/>
  </r>
  <r>
    <x v="967"/>
    <x v="926"/>
    <x v="38"/>
    <x v="82"/>
    <x v="87"/>
    <x v="0"/>
    <x v="0"/>
    <x v="894"/>
    <x v="1232"/>
    <x v="1416"/>
    <x v="0"/>
  </r>
  <r>
    <x v="968"/>
    <x v="927"/>
    <x v="23"/>
    <x v="49"/>
    <x v="51"/>
    <x v="0"/>
    <x v="0"/>
    <x v="0"/>
    <x v="1358"/>
    <x v="1423"/>
    <x v="0"/>
  </r>
  <r>
    <x v="968"/>
    <x v="925"/>
    <x v="40"/>
    <x v="85"/>
    <x v="90"/>
    <x v="612"/>
    <x v="8"/>
    <x v="908"/>
    <x v="1359"/>
    <x v="1415"/>
    <x v="101"/>
  </r>
  <r>
    <x v="968"/>
    <x v="927"/>
    <x v="38"/>
    <x v="82"/>
    <x v="87"/>
    <x v="0"/>
    <x v="0"/>
    <x v="889"/>
    <x v="1207"/>
    <x v="1424"/>
    <x v="0"/>
  </r>
  <r>
    <x v="969"/>
    <x v="928"/>
    <x v="24"/>
    <x v="49"/>
    <x v="51"/>
    <x v="0"/>
    <x v="0"/>
    <x v="0"/>
    <x v="1208"/>
    <x v="1415"/>
    <x v="0"/>
  </r>
  <r>
    <x v="969"/>
    <x v="928"/>
    <x v="38"/>
    <x v="82"/>
    <x v="87"/>
    <x v="0"/>
    <x v="0"/>
    <x v="889"/>
    <x v="1207"/>
    <x v="1424"/>
    <x v="0"/>
  </r>
  <r>
    <x v="970"/>
    <x v="929"/>
    <x v="24"/>
    <x v="49"/>
    <x v="51"/>
    <x v="0"/>
    <x v="0"/>
    <x v="0"/>
    <x v="1208"/>
    <x v="1415"/>
    <x v="0"/>
  </r>
  <r>
    <x v="970"/>
    <x v="929"/>
    <x v="38"/>
    <x v="82"/>
    <x v="87"/>
    <x v="0"/>
    <x v="0"/>
    <x v="887"/>
    <x v="1264"/>
    <x v="1425"/>
    <x v="0"/>
  </r>
  <r>
    <x v="971"/>
    <x v="930"/>
    <x v="23"/>
    <x v="49"/>
    <x v="51"/>
    <x v="0"/>
    <x v="0"/>
    <x v="0"/>
    <x v="1360"/>
    <x v="1426"/>
    <x v="0"/>
  </r>
  <r>
    <x v="971"/>
    <x v="930"/>
    <x v="3"/>
    <x v="51"/>
    <x v="53"/>
    <x v="756"/>
    <x v="65"/>
    <x v="909"/>
    <x v="1361"/>
    <x v="1415"/>
    <x v="148"/>
  </r>
  <r>
    <x v="971"/>
    <x v="930"/>
    <x v="38"/>
    <x v="82"/>
    <x v="87"/>
    <x v="0"/>
    <x v="0"/>
    <x v="889"/>
    <x v="1207"/>
    <x v="1424"/>
    <x v="0"/>
  </r>
  <r>
    <x v="972"/>
    <x v="931"/>
    <x v="23"/>
    <x v="49"/>
    <x v="51"/>
    <x v="0"/>
    <x v="0"/>
    <x v="0"/>
    <x v="1362"/>
    <x v="657"/>
    <x v="0"/>
  </r>
  <r>
    <x v="972"/>
    <x v="931"/>
    <x v="38"/>
    <x v="82"/>
    <x v="87"/>
    <x v="0"/>
    <x v="0"/>
    <x v="889"/>
    <x v="1207"/>
    <x v="1244"/>
    <x v="0"/>
  </r>
  <r>
    <x v="973"/>
    <x v="932"/>
    <x v="24"/>
    <x v="49"/>
    <x v="51"/>
    <x v="0"/>
    <x v="0"/>
    <x v="0"/>
    <x v="1208"/>
    <x v="657"/>
    <x v="0"/>
  </r>
  <r>
    <x v="973"/>
    <x v="932"/>
    <x v="38"/>
    <x v="82"/>
    <x v="87"/>
    <x v="0"/>
    <x v="0"/>
    <x v="889"/>
    <x v="1207"/>
    <x v="1244"/>
    <x v="0"/>
  </r>
  <r>
    <x v="974"/>
    <x v="933"/>
    <x v="24"/>
    <x v="49"/>
    <x v="51"/>
    <x v="0"/>
    <x v="0"/>
    <x v="0"/>
    <x v="1208"/>
    <x v="657"/>
    <x v="0"/>
  </r>
  <r>
    <x v="974"/>
    <x v="933"/>
    <x v="38"/>
    <x v="82"/>
    <x v="87"/>
    <x v="0"/>
    <x v="0"/>
    <x v="889"/>
    <x v="1207"/>
    <x v="1244"/>
    <x v="0"/>
  </r>
  <r>
    <x v="975"/>
    <x v="934"/>
    <x v="24"/>
    <x v="49"/>
    <x v="51"/>
    <x v="0"/>
    <x v="251"/>
    <x v="0"/>
    <x v="1363"/>
    <x v="1427"/>
    <x v="0"/>
  </r>
  <r>
    <x v="975"/>
    <x v="934"/>
    <x v="2"/>
    <x v="89"/>
    <x v="95"/>
    <x v="757"/>
    <x v="67"/>
    <x v="910"/>
    <x v="1364"/>
    <x v="1428"/>
    <x v="75"/>
  </r>
  <r>
    <x v="975"/>
    <x v="934"/>
    <x v="38"/>
    <x v="82"/>
    <x v="87"/>
    <x v="0"/>
    <x v="0"/>
    <x v="887"/>
    <x v="1264"/>
    <x v="1429"/>
    <x v="0"/>
  </r>
  <r>
    <x v="976"/>
    <x v="935"/>
    <x v="23"/>
    <x v="49"/>
    <x v="51"/>
    <x v="0"/>
    <x v="0"/>
    <x v="0"/>
    <x v="1365"/>
    <x v="1430"/>
    <x v="0"/>
  </r>
  <r>
    <x v="976"/>
    <x v="935"/>
    <x v="3"/>
    <x v="89"/>
    <x v="95"/>
    <x v="758"/>
    <x v="31"/>
    <x v="911"/>
    <x v="1366"/>
    <x v="1431"/>
    <x v="35"/>
  </r>
  <r>
    <x v="976"/>
    <x v="935"/>
    <x v="38"/>
    <x v="82"/>
    <x v="87"/>
    <x v="0"/>
    <x v="0"/>
    <x v="889"/>
    <x v="1207"/>
    <x v="1432"/>
    <x v="0"/>
  </r>
  <r>
    <x v="977"/>
    <x v="936"/>
    <x v="24"/>
    <x v="49"/>
    <x v="51"/>
    <x v="0"/>
    <x v="252"/>
    <x v="0"/>
    <x v="1367"/>
    <x v="1433"/>
    <x v="0"/>
  </r>
  <r>
    <x v="977"/>
    <x v="936"/>
    <x v="2"/>
    <x v="89"/>
    <x v="95"/>
    <x v="757"/>
    <x v="31"/>
    <x v="912"/>
    <x v="1368"/>
    <x v="1428"/>
    <x v="75"/>
  </r>
  <r>
    <x v="977"/>
    <x v="936"/>
    <x v="38"/>
    <x v="82"/>
    <x v="87"/>
    <x v="0"/>
    <x v="0"/>
    <x v="889"/>
    <x v="1207"/>
    <x v="1434"/>
    <x v="0"/>
  </r>
  <r>
    <x v="978"/>
    <x v="937"/>
    <x v="24"/>
    <x v="49"/>
    <x v="51"/>
    <x v="0"/>
    <x v="253"/>
    <x v="0"/>
    <x v="1369"/>
    <x v="1435"/>
    <x v="0"/>
  </r>
  <r>
    <x v="978"/>
    <x v="937"/>
    <x v="2"/>
    <x v="89"/>
    <x v="95"/>
    <x v="759"/>
    <x v="31"/>
    <x v="913"/>
    <x v="1370"/>
    <x v="1436"/>
    <x v="71"/>
  </r>
  <r>
    <x v="978"/>
    <x v="937"/>
    <x v="38"/>
    <x v="82"/>
    <x v="87"/>
    <x v="0"/>
    <x v="0"/>
    <x v="889"/>
    <x v="1207"/>
    <x v="1437"/>
    <x v="0"/>
  </r>
  <r>
    <x v="979"/>
    <x v="938"/>
    <x v="5"/>
    <x v="1"/>
    <x v="1"/>
    <x v="0"/>
    <x v="0"/>
    <x v="0"/>
    <x v="1371"/>
    <x v="1438"/>
    <x v="0"/>
  </r>
  <r>
    <x v="979"/>
    <x v="938"/>
    <x v="23"/>
    <x v="49"/>
    <x v="51"/>
    <x v="0"/>
    <x v="0"/>
    <x v="0"/>
    <x v="1372"/>
    <x v="1439"/>
    <x v="0"/>
  </r>
  <r>
    <x v="979"/>
    <x v="938"/>
    <x v="3"/>
    <x v="89"/>
    <x v="95"/>
    <x v="562"/>
    <x v="31"/>
    <x v="914"/>
    <x v="1373"/>
    <x v="1440"/>
    <x v="75"/>
  </r>
  <r>
    <x v="979"/>
    <x v="938"/>
    <x v="38"/>
    <x v="82"/>
    <x v="87"/>
    <x v="0"/>
    <x v="0"/>
    <x v="889"/>
    <x v="1207"/>
    <x v="1441"/>
    <x v="0"/>
  </r>
  <r>
    <x v="980"/>
    <x v="97"/>
    <x v="25"/>
    <x v="49"/>
    <x v="51"/>
    <x v="0"/>
    <x v="0"/>
    <x v="915"/>
    <x v="1374"/>
    <x v="1442"/>
    <x v="0"/>
  </r>
  <r>
    <x v="980"/>
    <x v="939"/>
    <x v="23"/>
    <x v="49"/>
    <x v="51"/>
    <x v="0"/>
    <x v="0"/>
    <x v="0"/>
    <x v="1375"/>
    <x v="1443"/>
    <x v="0"/>
  </r>
  <r>
    <x v="980"/>
    <x v="939"/>
    <x v="3"/>
    <x v="89"/>
    <x v="95"/>
    <x v="224"/>
    <x v="31"/>
    <x v="916"/>
    <x v="1376"/>
    <x v="1444"/>
    <x v="35"/>
  </r>
  <r>
    <x v="980"/>
    <x v="939"/>
    <x v="38"/>
    <x v="82"/>
    <x v="87"/>
    <x v="0"/>
    <x v="0"/>
    <x v="917"/>
    <x v="1289"/>
    <x v="1445"/>
    <x v="0"/>
  </r>
  <r>
    <x v="981"/>
    <x v="940"/>
    <x v="38"/>
    <x v="82"/>
    <x v="87"/>
    <x v="0"/>
    <x v="0"/>
    <x v="889"/>
    <x v="1207"/>
    <x v="1446"/>
    <x v="0"/>
  </r>
  <r>
    <x v="982"/>
    <x v="941"/>
    <x v="38"/>
    <x v="82"/>
    <x v="87"/>
    <x v="0"/>
    <x v="0"/>
    <x v="887"/>
    <x v="1264"/>
    <x v="1447"/>
    <x v="0"/>
  </r>
  <r>
    <x v="983"/>
    <x v="942"/>
    <x v="38"/>
    <x v="82"/>
    <x v="87"/>
    <x v="0"/>
    <x v="0"/>
    <x v="889"/>
    <x v="1207"/>
    <x v="1448"/>
    <x v="0"/>
  </r>
  <r>
    <x v="984"/>
    <x v="943"/>
    <x v="38"/>
    <x v="82"/>
    <x v="87"/>
    <x v="0"/>
    <x v="0"/>
    <x v="889"/>
    <x v="1207"/>
    <x v="1449"/>
    <x v="0"/>
  </r>
  <r>
    <x v="985"/>
    <x v="944"/>
    <x v="38"/>
    <x v="82"/>
    <x v="87"/>
    <x v="0"/>
    <x v="0"/>
    <x v="889"/>
    <x v="1207"/>
    <x v="1450"/>
    <x v="0"/>
  </r>
  <r>
    <x v="986"/>
    <x v="945"/>
    <x v="41"/>
    <x v="81"/>
    <x v="88"/>
    <x v="760"/>
    <x v="230"/>
    <x v="918"/>
    <x v="1377"/>
    <x v="1451"/>
    <x v="150"/>
  </r>
  <r>
    <x v="986"/>
    <x v="945"/>
    <x v="38"/>
    <x v="1"/>
    <x v="1"/>
    <x v="0"/>
    <x v="0"/>
    <x v="871"/>
    <x v="1276"/>
    <x v="1452"/>
    <x v="0"/>
  </r>
  <r>
    <x v="987"/>
    <x v="946"/>
    <x v="4"/>
    <x v="1"/>
    <x v="1"/>
    <x v="0"/>
    <x v="0"/>
    <x v="0"/>
    <x v="1378"/>
    <x v="1453"/>
    <x v="0"/>
  </r>
  <r>
    <x v="987"/>
    <x v="946"/>
    <x v="24"/>
    <x v="49"/>
    <x v="51"/>
    <x v="0"/>
    <x v="254"/>
    <x v="0"/>
    <x v="1379"/>
    <x v="1454"/>
    <x v="0"/>
  </r>
  <r>
    <x v="987"/>
    <x v="946"/>
    <x v="38"/>
    <x v="1"/>
    <x v="1"/>
    <x v="0"/>
    <x v="0"/>
    <x v="867"/>
    <x v="1264"/>
    <x v="1455"/>
    <x v="0"/>
  </r>
  <r>
    <x v="988"/>
    <x v="947"/>
    <x v="24"/>
    <x v="49"/>
    <x v="51"/>
    <x v="0"/>
    <x v="255"/>
    <x v="0"/>
    <x v="1380"/>
    <x v="1456"/>
    <x v="0"/>
  </r>
  <r>
    <x v="988"/>
    <x v="947"/>
    <x v="2"/>
    <x v="89"/>
    <x v="95"/>
    <x v="562"/>
    <x v="31"/>
    <x v="914"/>
    <x v="1381"/>
    <x v="1457"/>
    <x v="75"/>
  </r>
  <r>
    <x v="988"/>
    <x v="947"/>
    <x v="2"/>
    <x v="89"/>
    <x v="95"/>
    <x v="761"/>
    <x v="31"/>
    <x v="919"/>
    <x v="1382"/>
    <x v="1458"/>
    <x v="71"/>
  </r>
  <r>
    <x v="988"/>
    <x v="947"/>
    <x v="38"/>
    <x v="1"/>
    <x v="1"/>
    <x v="0"/>
    <x v="0"/>
    <x v="837"/>
    <x v="1207"/>
    <x v="1459"/>
    <x v="0"/>
  </r>
  <r>
    <x v="989"/>
    <x v="948"/>
    <x v="23"/>
    <x v="49"/>
    <x v="51"/>
    <x v="0"/>
    <x v="0"/>
    <x v="0"/>
    <x v="1383"/>
    <x v="1430"/>
    <x v="0"/>
  </r>
  <r>
    <x v="989"/>
    <x v="948"/>
    <x v="3"/>
    <x v="89"/>
    <x v="95"/>
    <x v="762"/>
    <x v="31"/>
    <x v="920"/>
    <x v="1384"/>
    <x v="1460"/>
    <x v="75"/>
  </r>
  <r>
    <x v="989"/>
    <x v="948"/>
    <x v="38"/>
    <x v="1"/>
    <x v="1"/>
    <x v="0"/>
    <x v="0"/>
    <x v="837"/>
    <x v="1207"/>
    <x v="1461"/>
    <x v="0"/>
  </r>
  <r>
    <x v="990"/>
    <x v="949"/>
    <x v="23"/>
    <x v="49"/>
    <x v="51"/>
    <x v="0"/>
    <x v="0"/>
    <x v="0"/>
    <x v="1385"/>
    <x v="1462"/>
    <x v="0"/>
  </r>
  <r>
    <x v="990"/>
    <x v="949"/>
    <x v="3"/>
    <x v="89"/>
    <x v="95"/>
    <x v="763"/>
    <x v="31"/>
    <x v="921"/>
    <x v="1386"/>
    <x v="1463"/>
    <x v="35"/>
  </r>
  <r>
    <x v="991"/>
    <x v="950"/>
    <x v="38"/>
    <x v="1"/>
    <x v="1"/>
    <x v="0"/>
    <x v="0"/>
    <x v="854"/>
    <x v="219"/>
    <x v="1464"/>
    <x v="0"/>
  </r>
  <r>
    <x v="992"/>
    <x v="951"/>
    <x v="24"/>
    <x v="49"/>
    <x v="51"/>
    <x v="0"/>
    <x v="0"/>
    <x v="0"/>
    <x v="1291"/>
    <x v="1463"/>
    <x v="0"/>
  </r>
  <r>
    <x v="992"/>
    <x v="951"/>
    <x v="38"/>
    <x v="1"/>
    <x v="1"/>
    <x v="0"/>
    <x v="0"/>
    <x v="867"/>
    <x v="1264"/>
    <x v="1465"/>
    <x v="0"/>
  </r>
  <r>
    <x v="993"/>
    <x v="952"/>
    <x v="24"/>
    <x v="49"/>
    <x v="51"/>
    <x v="0"/>
    <x v="0"/>
    <x v="0"/>
    <x v="1266"/>
    <x v="1463"/>
    <x v="0"/>
  </r>
  <r>
    <x v="993"/>
    <x v="952"/>
    <x v="38"/>
    <x v="1"/>
    <x v="1"/>
    <x v="0"/>
    <x v="0"/>
    <x v="837"/>
    <x v="1207"/>
    <x v="1466"/>
    <x v="0"/>
  </r>
  <r>
    <x v="994"/>
    <x v="953"/>
    <x v="24"/>
    <x v="49"/>
    <x v="51"/>
    <x v="0"/>
    <x v="0"/>
    <x v="0"/>
    <x v="1208"/>
    <x v="1463"/>
    <x v="0"/>
  </r>
  <r>
    <x v="994"/>
    <x v="953"/>
    <x v="38"/>
    <x v="1"/>
    <x v="1"/>
    <x v="0"/>
    <x v="0"/>
    <x v="837"/>
    <x v="1207"/>
    <x v="1466"/>
    <x v="0"/>
  </r>
  <r>
    <x v="995"/>
    <x v="954"/>
    <x v="24"/>
    <x v="49"/>
    <x v="51"/>
    <x v="0"/>
    <x v="0"/>
    <x v="0"/>
    <x v="1208"/>
    <x v="1463"/>
    <x v="0"/>
  </r>
  <r>
    <x v="995"/>
    <x v="954"/>
    <x v="38"/>
    <x v="1"/>
    <x v="1"/>
    <x v="0"/>
    <x v="0"/>
    <x v="837"/>
    <x v="1207"/>
    <x v="1466"/>
    <x v="0"/>
  </r>
  <r>
    <x v="996"/>
    <x v="955"/>
    <x v="24"/>
    <x v="49"/>
    <x v="51"/>
    <x v="0"/>
    <x v="0"/>
    <x v="0"/>
    <x v="1208"/>
    <x v="1463"/>
    <x v="0"/>
  </r>
  <r>
    <x v="996"/>
    <x v="955"/>
    <x v="38"/>
    <x v="1"/>
    <x v="1"/>
    <x v="0"/>
    <x v="0"/>
    <x v="837"/>
    <x v="1207"/>
    <x v="1466"/>
    <x v="0"/>
  </r>
  <r>
    <x v="997"/>
    <x v="956"/>
    <x v="24"/>
    <x v="49"/>
    <x v="51"/>
    <x v="0"/>
    <x v="0"/>
    <x v="0"/>
    <x v="1208"/>
    <x v="1463"/>
    <x v="0"/>
  </r>
  <r>
    <x v="997"/>
    <x v="956"/>
    <x v="38"/>
    <x v="1"/>
    <x v="1"/>
    <x v="0"/>
    <x v="0"/>
    <x v="867"/>
    <x v="1264"/>
    <x v="1465"/>
    <x v="0"/>
  </r>
  <r>
    <x v="998"/>
    <x v="957"/>
    <x v="23"/>
    <x v="49"/>
    <x v="51"/>
    <x v="0"/>
    <x v="0"/>
    <x v="0"/>
    <x v="1387"/>
    <x v="1462"/>
    <x v="0"/>
  </r>
  <r>
    <x v="998"/>
    <x v="957"/>
    <x v="3"/>
    <x v="89"/>
    <x v="95"/>
    <x v="764"/>
    <x v="31"/>
    <x v="922"/>
    <x v="1388"/>
    <x v="1467"/>
    <x v="0"/>
  </r>
  <r>
    <x v="998"/>
    <x v="957"/>
    <x v="38"/>
    <x v="1"/>
    <x v="1"/>
    <x v="0"/>
    <x v="0"/>
    <x v="837"/>
    <x v="1207"/>
    <x v="1468"/>
    <x v="0"/>
  </r>
  <r>
    <x v="999"/>
    <x v="958"/>
    <x v="24"/>
    <x v="49"/>
    <x v="51"/>
    <x v="0"/>
    <x v="256"/>
    <x v="0"/>
    <x v="1389"/>
    <x v="1469"/>
    <x v="0"/>
  </r>
  <r>
    <x v="999"/>
    <x v="958"/>
    <x v="2"/>
    <x v="89"/>
    <x v="95"/>
    <x v="177"/>
    <x v="31"/>
    <x v="923"/>
    <x v="1390"/>
    <x v="1470"/>
    <x v="35"/>
  </r>
  <r>
    <x v="999"/>
    <x v="958"/>
    <x v="38"/>
    <x v="1"/>
    <x v="1"/>
    <x v="0"/>
    <x v="0"/>
    <x v="837"/>
    <x v="1207"/>
    <x v="1471"/>
    <x v="0"/>
  </r>
  <r>
    <x v="1000"/>
    <x v="959"/>
    <x v="23"/>
    <x v="49"/>
    <x v="51"/>
    <x v="0"/>
    <x v="0"/>
    <x v="0"/>
    <x v="1391"/>
    <x v="1472"/>
    <x v="0"/>
  </r>
  <r>
    <x v="1000"/>
    <x v="959"/>
    <x v="38"/>
    <x v="1"/>
    <x v="1"/>
    <x v="0"/>
    <x v="0"/>
    <x v="850"/>
    <x v="1232"/>
    <x v="1473"/>
    <x v="0"/>
  </r>
  <r>
    <x v="1001"/>
    <x v="960"/>
    <x v="23"/>
    <x v="49"/>
    <x v="51"/>
    <x v="0"/>
    <x v="0"/>
    <x v="0"/>
    <x v="1392"/>
    <x v="1474"/>
    <x v="0"/>
  </r>
  <r>
    <x v="1001"/>
    <x v="960"/>
    <x v="3"/>
    <x v="89"/>
    <x v="95"/>
    <x v="764"/>
    <x v="31"/>
    <x v="922"/>
    <x v="1388"/>
    <x v="1475"/>
    <x v="0"/>
  </r>
  <r>
    <x v="1001"/>
    <x v="958"/>
    <x v="39"/>
    <x v="85"/>
    <x v="90"/>
    <x v="765"/>
    <x v="8"/>
    <x v="924"/>
    <x v="1393"/>
    <x v="1467"/>
    <x v="19"/>
  </r>
  <r>
    <x v="1001"/>
    <x v="960"/>
    <x v="38"/>
    <x v="1"/>
    <x v="1"/>
    <x v="0"/>
    <x v="0"/>
    <x v="850"/>
    <x v="1232"/>
    <x v="1476"/>
    <x v="0"/>
  </r>
  <r>
    <x v="1002"/>
    <x v="961"/>
    <x v="24"/>
    <x v="49"/>
    <x v="51"/>
    <x v="0"/>
    <x v="0"/>
    <x v="0"/>
    <x v="1233"/>
    <x v="1467"/>
    <x v="0"/>
  </r>
  <r>
    <x v="1002"/>
    <x v="961"/>
    <x v="38"/>
    <x v="1"/>
    <x v="1"/>
    <x v="0"/>
    <x v="0"/>
    <x v="867"/>
    <x v="1264"/>
    <x v="1477"/>
    <x v="0"/>
  </r>
  <r>
    <x v="1003"/>
    <x v="962"/>
    <x v="24"/>
    <x v="49"/>
    <x v="51"/>
    <x v="0"/>
    <x v="257"/>
    <x v="0"/>
    <x v="1394"/>
    <x v="1478"/>
    <x v="0"/>
  </r>
  <r>
    <x v="1003"/>
    <x v="962"/>
    <x v="38"/>
    <x v="1"/>
    <x v="1"/>
    <x v="0"/>
    <x v="0"/>
    <x v="837"/>
    <x v="1207"/>
    <x v="1479"/>
    <x v="0"/>
  </r>
  <r>
    <x v="1004"/>
    <x v="963"/>
    <x v="23"/>
    <x v="49"/>
    <x v="51"/>
    <x v="0"/>
    <x v="0"/>
    <x v="0"/>
    <x v="1395"/>
    <x v="1480"/>
    <x v="0"/>
  </r>
  <r>
    <x v="1004"/>
    <x v="963"/>
    <x v="2"/>
    <x v="89"/>
    <x v="95"/>
    <x v="223"/>
    <x v="31"/>
    <x v="925"/>
    <x v="1396"/>
    <x v="657"/>
    <x v="35"/>
  </r>
  <r>
    <x v="1004"/>
    <x v="963"/>
    <x v="38"/>
    <x v="1"/>
    <x v="1"/>
    <x v="0"/>
    <x v="0"/>
    <x v="837"/>
    <x v="1207"/>
    <x v="1244"/>
    <x v="0"/>
  </r>
  <r>
    <x v="1005"/>
    <x v="964"/>
    <x v="3"/>
    <x v="89"/>
    <x v="95"/>
    <x v="214"/>
    <x v="31"/>
    <x v="926"/>
    <x v="1397"/>
    <x v="1481"/>
    <x v="0"/>
  </r>
  <r>
    <x v="1005"/>
    <x v="964"/>
    <x v="38"/>
    <x v="1"/>
    <x v="1"/>
    <x v="0"/>
    <x v="0"/>
    <x v="837"/>
    <x v="1207"/>
    <x v="1482"/>
    <x v="0"/>
  </r>
  <r>
    <x v="1006"/>
    <x v="965"/>
    <x v="38"/>
    <x v="1"/>
    <x v="1"/>
    <x v="0"/>
    <x v="0"/>
    <x v="837"/>
    <x v="1207"/>
    <x v="1483"/>
    <x v="0"/>
  </r>
  <r>
    <x v="1007"/>
    <x v="966"/>
    <x v="1"/>
    <x v="1"/>
    <x v="1"/>
    <x v="0"/>
    <x v="0"/>
    <x v="0"/>
    <x v="1274"/>
    <x v="1484"/>
    <x v="0"/>
  </r>
  <r>
    <x v="1007"/>
    <x v="966"/>
    <x v="2"/>
    <x v="80"/>
    <x v="83"/>
    <x v="752"/>
    <x v="65"/>
    <x v="903"/>
    <x v="1398"/>
    <x v="1485"/>
    <x v="20"/>
  </r>
  <r>
    <x v="1007"/>
    <x v="966"/>
    <x v="38"/>
    <x v="1"/>
    <x v="1"/>
    <x v="0"/>
    <x v="0"/>
    <x v="867"/>
    <x v="1264"/>
    <x v="1486"/>
    <x v="0"/>
  </r>
  <r>
    <x v="1008"/>
    <x v="967"/>
    <x v="24"/>
    <x v="49"/>
    <x v="51"/>
    <x v="0"/>
    <x v="258"/>
    <x v="0"/>
    <x v="1399"/>
    <x v="1487"/>
    <x v="0"/>
  </r>
  <r>
    <x v="1008"/>
    <x v="967"/>
    <x v="2"/>
    <x v="80"/>
    <x v="83"/>
    <x v="379"/>
    <x v="65"/>
    <x v="927"/>
    <x v="1400"/>
    <x v="1488"/>
    <x v="73"/>
  </r>
  <r>
    <x v="1008"/>
    <x v="967"/>
    <x v="38"/>
    <x v="1"/>
    <x v="1"/>
    <x v="0"/>
    <x v="0"/>
    <x v="837"/>
    <x v="1207"/>
    <x v="1489"/>
    <x v="0"/>
  </r>
  <r>
    <x v="1009"/>
    <x v="968"/>
    <x v="24"/>
    <x v="49"/>
    <x v="51"/>
    <x v="0"/>
    <x v="177"/>
    <x v="0"/>
    <x v="1401"/>
    <x v="1490"/>
    <x v="0"/>
  </r>
  <r>
    <x v="1009"/>
    <x v="968"/>
    <x v="2"/>
    <x v="89"/>
    <x v="95"/>
    <x v="766"/>
    <x v="31"/>
    <x v="732"/>
    <x v="1034"/>
    <x v="1488"/>
    <x v="35"/>
  </r>
  <r>
    <x v="1009"/>
    <x v="968"/>
    <x v="38"/>
    <x v="1"/>
    <x v="1"/>
    <x v="0"/>
    <x v="0"/>
    <x v="837"/>
    <x v="1207"/>
    <x v="1489"/>
    <x v="0"/>
  </r>
  <r>
    <x v="1010"/>
    <x v="969"/>
    <x v="23"/>
    <x v="49"/>
    <x v="51"/>
    <x v="0"/>
    <x v="0"/>
    <x v="0"/>
    <x v="1402"/>
    <x v="1491"/>
    <x v="0"/>
  </r>
  <r>
    <x v="1010"/>
    <x v="969"/>
    <x v="3"/>
    <x v="89"/>
    <x v="95"/>
    <x v="530"/>
    <x v="31"/>
    <x v="928"/>
    <x v="1403"/>
    <x v="1492"/>
    <x v="0"/>
  </r>
  <r>
    <x v="1010"/>
    <x v="969"/>
    <x v="3"/>
    <x v="80"/>
    <x v="83"/>
    <x v="752"/>
    <x v="65"/>
    <x v="903"/>
    <x v="1344"/>
    <x v="1493"/>
    <x v="20"/>
  </r>
  <r>
    <x v="1010"/>
    <x v="969"/>
    <x v="38"/>
    <x v="1"/>
    <x v="1"/>
    <x v="0"/>
    <x v="0"/>
    <x v="837"/>
    <x v="1207"/>
    <x v="1494"/>
    <x v="0"/>
  </r>
  <r>
    <x v="1011"/>
    <x v="970"/>
    <x v="24"/>
    <x v="49"/>
    <x v="51"/>
    <x v="0"/>
    <x v="259"/>
    <x v="0"/>
    <x v="1404"/>
    <x v="1495"/>
    <x v="0"/>
  </r>
  <r>
    <x v="1011"/>
    <x v="970"/>
    <x v="2"/>
    <x v="51"/>
    <x v="53"/>
    <x v="754"/>
    <x v="30"/>
    <x v="929"/>
    <x v="1405"/>
    <x v="1493"/>
    <x v="155"/>
  </r>
  <r>
    <x v="1011"/>
    <x v="970"/>
    <x v="38"/>
    <x v="1"/>
    <x v="1"/>
    <x v="0"/>
    <x v="0"/>
    <x v="837"/>
    <x v="1207"/>
    <x v="1494"/>
    <x v="0"/>
  </r>
  <r>
    <x v="1012"/>
    <x v="971"/>
    <x v="24"/>
    <x v="49"/>
    <x v="51"/>
    <x v="0"/>
    <x v="0"/>
    <x v="0"/>
    <x v="1208"/>
    <x v="1493"/>
    <x v="0"/>
  </r>
  <r>
    <x v="1012"/>
    <x v="971"/>
    <x v="38"/>
    <x v="1"/>
    <x v="1"/>
    <x v="0"/>
    <x v="0"/>
    <x v="867"/>
    <x v="1264"/>
    <x v="1496"/>
    <x v="0"/>
  </r>
  <r>
    <x v="1013"/>
    <x v="972"/>
    <x v="3"/>
    <x v="80"/>
    <x v="83"/>
    <x v="767"/>
    <x v="65"/>
    <x v="930"/>
    <x v="1406"/>
    <x v="1497"/>
    <x v="0"/>
  </r>
  <r>
    <x v="1013"/>
    <x v="972"/>
    <x v="2"/>
    <x v="80"/>
    <x v="83"/>
    <x v="752"/>
    <x v="65"/>
    <x v="903"/>
    <x v="1398"/>
    <x v="1498"/>
    <x v="20"/>
  </r>
  <r>
    <x v="1013"/>
    <x v="972"/>
    <x v="38"/>
    <x v="1"/>
    <x v="1"/>
    <x v="0"/>
    <x v="0"/>
    <x v="837"/>
    <x v="1207"/>
    <x v="1499"/>
    <x v="0"/>
  </r>
  <r>
    <x v="1014"/>
    <x v="973"/>
    <x v="38"/>
    <x v="1"/>
    <x v="1"/>
    <x v="0"/>
    <x v="0"/>
    <x v="837"/>
    <x v="1207"/>
    <x v="1500"/>
    <x v="0"/>
  </r>
  <r>
    <x v="1015"/>
    <x v="974"/>
    <x v="38"/>
    <x v="1"/>
    <x v="1"/>
    <x v="0"/>
    <x v="0"/>
    <x v="837"/>
    <x v="1207"/>
    <x v="1501"/>
    <x v="0"/>
  </r>
  <r>
    <x v="1016"/>
    <x v="975"/>
    <x v="4"/>
    <x v="1"/>
    <x v="1"/>
    <x v="0"/>
    <x v="0"/>
    <x v="0"/>
    <x v="4"/>
    <x v="1502"/>
    <x v="0"/>
  </r>
  <r>
    <x v="1016"/>
    <x v="975"/>
    <x v="23"/>
    <x v="49"/>
    <x v="51"/>
    <x v="0"/>
    <x v="0"/>
    <x v="0"/>
    <x v="1407"/>
    <x v="1503"/>
    <x v="0"/>
  </r>
  <r>
    <x v="1016"/>
    <x v="975"/>
    <x v="3"/>
    <x v="80"/>
    <x v="83"/>
    <x v="767"/>
    <x v="65"/>
    <x v="930"/>
    <x v="1408"/>
    <x v="1504"/>
    <x v="0"/>
  </r>
  <r>
    <x v="1016"/>
    <x v="975"/>
    <x v="38"/>
    <x v="1"/>
    <x v="1"/>
    <x v="0"/>
    <x v="0"/>
    <x v="837"/>
    <x v="1207"/>
    <x v="1505"/>
    <x v="0"/>
  </r>
  <r>
    <x v="1017"/>
    <x v="976"/>
    <x v="24"/>
    <x v="49"/>
    <x v="51"/>
    <x v="0"/>
    <x v="0"/>
    <x v="0"/>
    <x v="1208"/>
    <x v="1504"/>
    <x v="0"/>
  </r>
  <r>
    <x v="1017"/>
    <x v="976"/>
    <x v="38"/>
    <x v="1"/>
    <x v="1"/>
    <x v="0"/>
    <x v="0"/>
    <x v="867"/>
    <x v="1264"/>
    <x v="1506"/>
    <x v="0"/>
  </r>
  <r>
    <x v="1018"/>
    <x v="977"/>
    <x v="4"/>
    <x v="1"/>
    <x v="1"/>
    <x v="0"/>
    <x v="0"/>
    <x v="0"/>
    <x v="1409"/>
    <x v="1507"/>
    <x v="0"/>
  </r>
  <r>
    <x v="1018"/>
    <x v="977"/>
    <x v="24"/>
    <x v="49"/>
    <x v="51"/>
    <x v="0"/>
    <x v="16"/>
    <x v="0"/>
    <x v="1410"/>
    <x v="1504"/>
    <x v="0"/>
  </r>
  <r>
    <x v="1018"/>
    <x v="977"/>
    <x v="38"/>
    <x v="1"/>
    <x v="1"/>
    <x v="0"/>
    <x v="0"/>
    <x v="837"/>
    <x v="1207"/>
    <x v="1505"/>
    <x v="0"/>
  </r>
  <r>
    <x v="1019"/>
    <x v="978"/>
    <x v="23"/>
    <x v="49"/>
    <x v="51"/>
    <x v="0"/>
    <x v="0"/>
    <x v="0"/>
    <x v="1411"/>
    <x v="1508"/>
    <x v="0"/>
  </r>
  <r>
    <x v="1019"/>
    <x v="978"/>
    <x v="3"/>
    <x v="51"/>
    <x v="53"/>
    <x v="768"/>
    <x v="30"/>
    <x v="931"/>
    <x v="1412"/>
    <x v="1509"/>
    <x v="148"/>
  </r>
  <r>
    <x v="1019"/>
    <x v="978"/>
    <x v="38"/>
    <x v="1"/>
    <x v="1"/>
    <x v="0"/>
    <x v="0"/>
    <x v="837"/>
    <x v="1207"/>
    <x v="1510"/>
    <x v="0"/>
  </r>
  <r>
    <x v="1020"/>
    <x v="979"/>
    <x v="24"/>
    <x v="49"/>
    <x v="51"/>
    <x v="0"/>
    <x v="0"/>
    <x v="0"/>
    <x v="1195"/>
    <x v="1504"/>
    <x v="0"/>
  </r>
  <r>
    <x v="1020"/>
    <x v="979"/>
    <x v="38"/>
    <x v="1"/>
    <x v="1"/>
    <x v="0"/>
    <x v="0"/>
    <x v="837"/>
    <x v="1207"/>
    <x v="1505"/>
    <x v="0"/>
  </r>
  <r>
    <x v="1021"/>
    <x v="980"/>
    <x v="4"/>
    <x v="1"/>
    <x v="1"/>
    <x v="0"/>
    <x v="0"/>
    <x v="0"/>
    <x v="1413"/>
    <x v="1511"/>
    <x v="0"/>
  </r>
  <r>
    <x v="1021"/>
    <x v="980"/>
    <x v="24"/>
    <x v="49"/>
    <x v="51"/>
    <x v="0"/>
    <x v="260"/>
    <x v="0"/>
    <x v="1414"/>
    <x v="1512"/>
    <x v="0"/>
  </r>
  <r>
    <x v="1021"/>
    <x v="980"/>
    <x v="2"/>
    <x v="80"/>
    <x v="83"/>
    <x v="769"/>
    <x v="65"/>
    <x v="932"/>
    <x v="1415"/>
    <x v="1513"/>
    <x v="20"/>
  </r>
  <r>
    <x v="1021"/>
    <x v="980"/>
    <x v="38"/>
    <x v="1"/>
    <x v="1"/>
    <x v="0"/>
    <x v="0"/>
    <x v="837"/>
    <x v="1207"/>
    <x v="1514"/>
    <x v="0"/>
  </r>
  <r>
    <x v="1022"/>
    <x v="981"/>
    <x v="24"/>
    <x v="49"/>
    <x v="51"/>
    <x v="0"/>
    <x v="261"/>
    <x v="0"/>
    <x v="1416"/>
    <x v="1515"/>
    <x v="0"/>
  </r>
  <r>
    <x v="1022"/>
    <x v="981"/>
    <x v="2"/>
    <x v="80"/>
    <x v="83"/>
    <x v="622"/>
    <x v="65"/>
    <x v="897"/>
    <x v="1324"/>
    <x v="1516"/>
    <x v="73"/>
  </r>
  <r>
    <x v="1022"/>
    <x v="981"/>
    <x v="38"/>
    <x v="1"/>
    <x v="1"/>
    <x v="0"/>
    <x v="0"/>
    <x v="867"/>
    <x v="1264"/>
    <x v="1517"/>
    <x v="0"/>
  </r>
  <r>
    <x v="1023"/>
    <x v="982"/>
    <x v="3"/>
    <x v="80"/>
    <x v="83"/>
    <x v="770"/>
    <x v="65"/>
    <x v="933"/>
    <x v="1417"/>
    <x v="1518"/>
    <x v="20"/>
  </r>
  <r>
    <x v="1023"/>
    <x v="982"/>
    <x v="2"/>
    <x v="80"/>
    <x v="83"/>
    <x v="771"/>
    <x v="65"/>
    <x v="934"/>
    <x v="1418"/>
    <x v="1519"/>
    <x v="73"/>
  </r>
  <r>
    <x v="1023"/>
    <x v="982"/>
    <x v="38"/>
    <x v="1"/>
    <x v="1"/>
    <x v="0"/>
    <x v="0"/>
    <x v="850"/>
    <x v="1232"/>
    <x v="1520"/>
    <x v="0"/>
  </r>
  <r>
    <x v="1024"/>
    <x v="983"/>
    <x v="23"/>
    <x v="49"/>
    <x v="51"/>
    <x v="0"/>
    <x v="0"/>
    <x v="0"/>
    <x v="1419"/>
    <x v="1521"/>
    <x v="0"/>
  </r>
  <r>
    <x v="1024"/>
    <x v="983"/>
    <x v="3"/>
    <x v="80"/>
    <x v="83"/>
    <x v="769"/>
    <x v="65"/>
    <x v="932"/>
    <x v="1420"/>
    <x v="1522"/>
    <x v="20"/>
  </r>
  <r>
    <x v="1024"/>
    <x v="983"/>
    <x v="3"/>
    <x v="80"/>
    <x v="83"/>
    <x v="772"/>
    <x v="65"/>
    <x v="935"/>
    <x v="1421"/>
    <x v="1523"/>
    <x v="0"/>
  </r>
  <r>
    <x v="1024"/>
    <x v="983"/>
    <x v="38"/>
    <x v="1"/>
    <x v="1"/>
    <x v="0"/>
    <x v="0"/>
    <x v="850"/>
    <x v="1232"/>
    <x v="1524"/>
    <x v="0"/>
  </r>
  <r>
    <x v="1025"/>
    <x v="984"/>
    <x v="24"/>
    <x v="49"/>
    <x v="51"/>
    <x v="0"/>
    <x v="0"/>
    <x v="0"/>
    <x v="1233"/>
    <x v="1523"/>
    <x v="0"/>
  </r>
  <r>
    <x v="1025"/>
    <x v="984"/>
    <x v="38"/>
    <x v="1"/>
    <x v="1"/>
    <x v="0"/>
    <x v="0"/>
    <x v="850"/>
    <x v="1232"/>
    <x v="1524"/>
    <x v="0"/>
  </r>
  <r>
    <x v="1026"/>
    <x v="985"/>
    <x v="24"/>
    <x v="49"/>
    <x v="51"/>
    <x v="0"/>
    <x v="0"/>
    <x v="0"/>
    <x v="1233"/>
    <x v="1523"/>
    <x v="0"/>
  </r>
  <r>
    <x v="1026"/>
    <x v="985"/>
    <x v="38"/>
    <x v="1"/>
    <x v="1"/>
    <x v="0"/>
    <x v="0"/>
    <x v="850"/>
    <x v="1232"/>
    <x v="1524"/>
    <x v="0"/>
  </r>
  <r>
    <x v="1027"/>
    <x v="986"/>
    <x v="24"/>
    <x v="49"/>
    <x v="51"/>
    <x v="0"/>
    <x v="262"/>
    <x v="0"/>
    <x v="1422"/>
    <x v="1525"/>
    <x v="0"/>
  </r>
  <r>
    <x v="1027"/>
    <x v="986"/>
    <x v="2"/>
    <x v="89"/>
    <x v="95"/>
    <x v="764"/>
    <x v="31"/>
    <x v="922"/>
    <x v="1423"/>
    <x v="1526"/>
    <x v="35"/>
  </r>
  <r>
    <x v="1027"/>
    <x v="986"/>
    <x v="38"/>
    <x v="1"/>
    <x v="1"/>
    <x v="0"/>
    <x v="0"/>
    <x v="867"/>
    <x v="1264"/>
    <x v="1527"/>
    <x v="0"/>
  </r>
  <r>
    <x v="1028"/>
    <x v="987"/>
    <x v="24"/>
    <x v="49"/>
    <x v="51"/>
    <x v="0"/>
    <x v="263"/>
    <x v="0"/>
    <x v="1424"/>
    <x v="1528"/>
    <x v="0"/>
  </r>
  <r>
    <x v="1028"/>
    <x v="987"/>
    <x v="2"/>
    <x v="89"/>
    <x v="95"/>
    <x v="177"/>
    <x v="31"/>
    <x v="923"/>
    <x v="1390"/>
    <x v="1529"/>
    <x v="75"/>
  </r>
  <r>
    <x v="1028"/>
    <x v="987"/>
    <x v="38"/>
    <x v="1"/>
    <x v="1"/>
    <x v="0"/>
    <x v="0"/>
    <x v="837"/>
    <x v="1207"/>
    <x v="1530"/>
    <x v="0"/>
  </r>
  <r>
    <x v="1029"/>
    <x v="988"/>
    <x v="4"/>
    <x v="1"/>
    <x v="1"/>
    <x v="0"/>
    <x v="0"/>
    <x v="0"/>
    <x v="1413"/>
    <x v="1531"/>
    <x v="0"/>
  </r>
  <r>
    <x v="1029"/>
    <x v="988"/>
    <x v="4"/>
    <x v="1"/>
    <x v="1"/>
    <x v="0"/>
    <x v="0"/>
    <x v="0"/>
    <x v="1413"/>
    <x v="1532"/>
    <x v="0"/>
  </r>
  <r>
    <x v="1029"/>
    <x v="988"/>
    <x v="23"/>
    <x v="49"/>
    <x v="51"/>
    <x v="0"/>
    <x v="0"/>
    <x v="0"/>
    <x v="1425"/>
    <x v="1533"/>
    <x v="0"/>
  </r>
  <r>
    <x v="1029"/>
    <x v="988"/>
    <x v="3"/>
    <x v="89"/>
    <x v="95"/>
    <x v="764"/>
    <x v="31"/>
    <x v="922"/>
    <x v="1388"/>
    <x v="1526"/>
    <x v="35"/>
  </r>
  <r>
    <x v="1029"/>
    <x v="988"/>
    <x v="38"/>
    <x v="1"/>
    <x v="1"/>
    <x v="0"/>
    <x v="0"/>
    <x v="837"/>
    <x v="1207"/>
    <x v="1534"/>
    <x v="0"/>
  </r>
  <r>
    <x v="1030"/>
    <x v="989"/>
    <x v="23"/>
    <x v="49"/>
    <x v="51"/>
    <x v="0"/>
    <x v="0"/>
    <x v="0"/>
    <x v="1426"/>
    <x v="1535"/>
    <x v="0"/>
  </r>
  <r>
    <x v="1030"/>
    <x v="989"/>
    <x v="3"/>
    <x v="89"/>
    <x v="95"/>
    <x v="773"/>
    <x v="31"/>
    <x v="936"/>
    <x v="794"/>
    <x v="1536"/>
    <x v="0"/>
  </r>
  <r>
    <x v="1030"/>
    <x v="989"/>
    <x v="38"/>
    <x v="1"/>
    <x v="1"/>
    <x v="0"/>
    <x v="0"/>
    <x v="837"/>
    <x v="1207"/>
    <x v="1537"/>
    <x v="0"/>
  </r>
  <r>
    <x v="1031"/>
    <x v="990"/>
    <x v="24"/>
    <x v="49"/>
    <x v="91"/>
    <x v="0"/>
    <x v="0"/>
    <x v="0"/>
    <x v="1208"/>
    <x v="1536"/>
    <x v="0"/>
  </r>
  <r>
    <x v="1031"/>
    <x v="990"/>
    <x v="38"/>
    <x v="1"/>
    <x v="1"/>
    <x v="0"/>
    <x v="0"/>
    <x v="837"/>
    <x v="1207"/>
    <x v="1537"/>
    <x v="0"/>
  </r>
  <r>
    <x v="1032"/>
    <x v="991"/>
    <x v="4"/>
    <x v="1"/>
    <x v="1"/>
    <x v="0"/>
    <x v="0"/>
    <x v="0"/>
    <x v="265"/>
    <x v="1538"/>
    <x v="0"/>
  </r>
  <r>
    <x v="1032"/>
    <x v="991"/>
    <x v="30"/>
    <x v="72"/>
    <x v="73"/>
    <x v="0"/>
    <x v="0"/>
    <x v="513"/>
    <x v="289"/>
    <x v="1539"/>
    <x v="0"/>
  </r>
  <r>
    <x v="1032"/>
    <x v="991"/>
    <x v="4"/>
    <x v="1"/>
    <x v="1"/>
    <x v="0"/>
    <x v="0"/>
    <x v="0"/>
    <x v="1427"/>
    <x v="1538"/>
    <x v="0"/>
  </r>
  <r>
    <x v="1032"/>
    <x v="991"/>
    <x v="31"/>
    <x v="49"/>
    <x v="91"/>
    <x v="0"/>
    <x v="64"/>
    <x v="513"/>
    <x v="289"/>
    <x v="1539"/>
    <x v="0"/>
  </r>
  <r>
    <x v="1032"/>
    <x v="991"/>
    <x v="23"/>
    <x v="49"/>
    <x v="51"/>
    <x v="0"/>
    <x v="0"/>
    <x v="0"/>
    <x v="1428"/>
    <x v="1540"/>
    <x v="0"/>
  </r>
  <r>
    <x v="1032"/>
    <x v="991"/>
    <x v="30"/>
    <x v="72"/>
    <x v="73"/>
    <x v="0"/>
    <x v="0"/>
    <x v="0"/>
    <x v="1427"/>
    <x v="657"/>
    <x v="0"/>
  </r>
  <r>
    <x v="1032"/>
    <x v="991"/>
    <x v="38"/>
    <x v="1"/>
    <x v="1"/>
    <x v="0"/>
    <x v="0"/>
    <x v="867"/>
    <x v="1264"/>
    <x v="1254"/>
    <x v="0"/>
  </r>
  <r>
    <x v="1033"/>
    <x v="992"/>
    <x v="24"/>
    <x v="49"/>
    <x v="51"/>
    <x v="0"/>
    <x v="0"/>
    <x v="0"/>
    <x v="1266"/>
    <x v="657"/>
    <x v="0"/>
  </r>
  <r>
    <x v="1033"/>
    <x v="992"/>
    <x v="38"/>
    <x v="1"/>
    <x v="1"/>
    <x v="0"/>
    <x v="0"/>
    <x v="837"/>
    <x v="1207"/>
    <x v="1244"/>
    <x v="0"/>
  </r>
  <r>
    <x v="1034"/>
    <x v="993"/>
    <x v="24"/>
    <x v="49"/>
    <x v="51"/>
    <x v="0"/>
    <x v="0"/>
    <x v="0"/>
    <x v="1208"/>
    <x v="657"/>
    <x v="0"/>
  </r>
  <r>
    <x v="1034"/>
    <x v="993"/>
    <x v="38"/>
    <x v="1"/>
    <x v="1"/>
    <x v="0"/>
    <x v="0"/>
    <x v="837"/>
    <x v="1207"/>
    <x v="1244"/>
    <x v="0"/>
  </r>
  <r>
    <x v="1035"/>
    <x v="994"/>
    <x v="24"/>
    <x v="49"/>
    <x v="51"/>
    <x v="0"/>
    <x v="0"/>
    <x v="0"/>
    <x v="1208"/>
    <x v="657"/>
    <x v="0"/>
  </r>
  <r>
    <x v="1035"/>
    <x v="994"/>
    <x v="38"/>
    <x v="1"/>
    <x v="1"/>
    <x v="0"/>
    <x v="0"/>
    <x v="837"/>
    <x v="1207"/>
    <x v="1244"/>
    <x v="0"/>
  </r>
  <r>
    <x v="1036"/>
    <x v="995"/>
    <x v="24"/>
    <x v="49"/>
    <x v="91"/>
    <x v="0"/>
    <x v="0"/>
    <x v="0"/>
    <x v="1208"/>
    <x v="657"/>
    <x v="0"/>
  </r>
  <r>
    <x v="1036"/>
    <x v="995"/>
    <x v="38"/>
    <x v="1"/>
    <x v="1"/>
    <x v="0"/>
    <x v="0"/>
    <x v="837"/>
    <x v="1207"/>
    <x v="1244"/>
    <x v="0"/>
  </r>
  <r>
    <x v="1037"/>
    <x v="996"/>
    <x v="5"/>
    <x v="1"/>
    <x v="1"/>
    <x v="0"/>
    <x v="0"/>
    <x v="0"/>
    <x v="1429"/>
    <x v="1541"/>
    <x v="0"/>
  </r>
  <r>
    <x v="1037"/>
    <x v="996"/>
    <x v="24"/>
    <x v="49"/>
    <x v="51"/>
    <x v="0"/>
    <x v="264"/>
    <x v="0"/>
    <x v="1430"/>
    <x v="1542"/>
    <x v="0"/>
  </r>
  <r>
    <x v="1037"/>
    <x v="996"/>
    <x v="2"/>
    <x v="89"/>
    <x v="95"/>
    <x v="763"/>
    <x v="265"/>
    <x v="673"/>
    <x v="923"/>
    <x v="1543"/>
    <x v="92"/>
  </r>
  <r>
    <x v="1037"/>
    <x v="996"/>
    <x v="38"/>
    <x v="1"/>
    <x v="1"/>
    <x v="0"/>
    <x v="0"/>
    <x v="867"/>
    <x v="1264"/>
    <x v="1544"/>
    <x v="0"/>
  </r>
  <r>
    <x v="1038"/>
    <x v="997"/>
    <x v="38"/>
    <x v="1"/>
    <x v="1"/>
    <x v="0"/>
    <x v="0"/>
    <x v="850"/>
    <x v="1232"/>
    <x v="1545"/>
    <x v="0"/>
  </r>
  <r>
    <x v="1039"/>
    <x v="998"/>
    <x v="24"/>
    <x v="49"/>
    <x v="51"/>
    <x v="0"/>
    <x v="266"/>
    <x v="0"/>
    <x v="1431"/>
    <x v="1546"/>
    <x v="0"/>
  </r>
  <r>
    <x v="1039"/>
    <x v="97"/>
    <x v="25"/>
    <x v="49"/>
    <x v="51"/>
    <x v="0"/>
    <x v="0"/>
    <x v="937"/>
    <x v="1432"/>
    <x v="1547"/>
    <x v="0"/>
  </r>
  <r>
    <x v="1039"/>
    <x v="998"/>
    <x v="42"/>
    <x v="90"/>
    <x v="96"/>
    <x v="774"/>
    <x v="1"/>
    <x v="938"/>
    <x v="1433"/>
    <x v="1548"/>
    <x v="1"/>
  </r>
  <r>
    <x v="1039"/>
    <x v="998"/>
    <x v="38"/>
    <x v="1"/>
    <x v="1"/>
    <x v="0"/>
    <x v="0"/>
    <x v="850"/>
    <x v="1232"/>
    <x v="1549"/>
    <x v="0"/>
  </r>
  <r>
    <x v="1040"/>
    <x v="999"/>
    <x v="38"/>
    <x v="1"/>
    <x v="1"/>
    <x v="0"/>
    <x v="0"/>
    <x v="850"/>
    <x v="1232"/>
    <x v="1550"/>
    <x v="0"/>
  </r>
  <r>
    <x v="1041"/>
    <x v="998"/>
    <x v="43"/>
    <x v="90"/>
    <x v="96"/>
    <x v="774"/>
    <x v="1"/>
    <x v="938"/>
    <x v="1434"/>
    <x v="1551"/>
    <x v="0"/>
  </r>
  <r>
    <x v="1041"/>
    <x v="1000"/>
    <x v="2"/>
    <x v="89"/>
    <x v="95"/>
    <x v="175"/>
    <x v="265"/>
    <x v="939"/>
    <x v="1435"/>
    <x v="1552"/>
    <x v="156"/>
  </r>
  <r>
    <x v="1041"/>
    <x v="1000"/>
    <x v="38"/>
    <x v="1"/>
    <x v="1"/>
    <x v="0"/>
    <x v="0"/>
    <x v="837"/>
    <x v="1207"/>
    <x v="1553"/>
    <x v="0"/>
  </r>
  <r>
    <x v="1042"/>
    <x v="1001"/>
    <x v="23"/>
    <x v="49"/>
    <x v="51"/>
    <x v="0"/>
    <x v="0"/>
    <x v="0"/>
    <x v="1436"/>
    <x v="657"/>
    <x v="0"/>
  </r>
  <r>
    <x v="1043"/>
    <x v="1002"/>
    <x v="38"/>
    <x v="1"/>
    <x v="1"/>
    <x v="0"/>
    <x v="0"/>
    <x v="829"/>
    <x v="1190"/>
    <x v="1346"/>
    <x v="0"/>
  </r>
  <r>
    <x v="1044"/>
    <x v="1003"/>
    <x v="24"/>
    <x v="49"/>
    <x v="51"/>
    <x v="0"/>
    <x v="0"/>
    <x v="0"/>
    <x v="1298"/>
    <x v="657"/>
    <x v="0"/>
  </r>
  <r>
    <x v="1044"/>
    <x v="1003"/>
    <x v="38"/>
    <x v="1"/>
    <x v="1"/>
    <x v="0"/>
    <x v="0"/>
    <x v="837"/>
    <x v="1207"/>
    <x v="1244"/>
    <x v="0"/>
  </r>
  <r>
    <x v="1045"/>
    <x v="1004"/>
    <x v="24"/>
    <x v="49"/>
    <x v="51"/>
    <x v="0"/>
    <x v="0"/>
    <x v="0"/>
    <x v="1208"/>
    <x v="657"/>
    <x v="0"/>
  </r>
  <r>
    <x v="1045"/>
    <x v="1004"/>
    <x v="38"/>
    <x v="1"/>
    <x v="1"/>
    <x v="0"/>
    <x v="0"/>
    <x v="837"/>
    <x v="1207"/>
    <x v="1244"/>
    <x v="0"/>
  </r>
  <r>
    <x v="1046"/>
    <x v="1005"/>
    <x v="24"/>
    <x v="49"/>
    <x v="51"/>
    <x v="0"/>
    <x v="0"/>
    <x v="0"/>
    <x v="1208"/>
    <x v="657"/>
    <x v="0"/>
  </r>
  <r>
    <x v="1047"/>
    <x v="1006"/>
    <x v="38"/>
    <x v="82"/>
    <x v="87"/>
    <x v="0"/>
    <x v="0"/>
    <x v="940"/>
    <x v="1437"/>
    <x v="1554"/>
    <x v="0"/>
  </r>
  <r>
    <x v="1048"/>
    <x v="1007"/>
    <x v="24"/>
    <x v="49"/>
    <x v="51"/>
    <x v="0"/>
    <x v="0"/>
    <x v="0"/>
    <x v="1438"/>
    <x v="657"/>
    <x v="0"/>
  </r>
  <r>
    <x v="1048"/>
    <x v="1007"/>
    <x v="38"/>
    <x v="82"/>
    <x v="87"/>
    <x v="0"/>
    <x v="0"/>
    <x v="837"/>
    <x v="1207"/>
    <x v="1244"/>
    <x v="0"/>
  </r>
  <r>
    <x v="1049"/>
    <x v="1008"/>
    <x v="38"/>
    <x v="82"/>
    <x v="87"/>
    <x v="0"/>
    <x v="0"/>
    <x v="837"/>
    <x v="1207"/>
    <x v="1244"/>
    <x v="0"/>
  </r>
  <r>
    <x v="1049"/>
    <x v="1008"/>
    <x v="24"/>
    <x v="49"/>
    <x v="51"/>
    <x v="0"/>
    <x v="0"/>
    <x v="0"/>
    <x v="1208"/>
    <x v="657"/>
    <x v="0"/>
  </r>
  <r>
    <x v="1050"/>
    <x v="1009"/>
    <x v="38"/>
    <x v="82"/>
    <x v="87"/>
    <x v="0"/>
    <x v="0"/>
    <x v="837"/>
    <x v="1207"/>
    <x v="1244"/>
    <x v="0"/>
  </r>
  <r>
    <x v="1050"/>
    <x v="1009"/>
    <x v="24"/>
    <x v="49"/>
    <x v="51"/>
    <x v="0"/>
    <x v="267"/>
    <x v="0"/>
    <x v="1439"/>
    <x v="1555"/>
    <x v="0"/>
  </r>
  <r>
    <x v="1050"/>
    <x v="1007"/>
    <x v="26"/>
    <x v="91"/>
    <x v="97"/>
    <x v="775"/>
    <x v="3"/>
    <x v="941"/>
    <x v="1440"/>
    <x v="657"/>
    <x v="0"/>
  </r>
  <r>
    <x v="1051"/>
    <x v="1010"/>
    <x v="38"/>
    <x v="82"/>
    <x v="87"/>
    <x v="0"/>
    <x v="0"/>
    <x v="867"/>
    <x v="1264"/>
    <x v="1254"/>
    <x v="0"/>
  </r>
  <r>
    <x v="1051"/>
    <x v="1010"/>
    <x v="24"/>
    <x v="49"/>
    <x v="51"/>
    <x v="0"/>
    <x v="0"/>
    <x v="0"/>
    <x v="1208"/>
    <x v="657"/>
    <x v="0"/>
  </r>
  <r>
    <x v="1051"/>
    <x v="1007"/>
    <x v="27"/>
    <x v="91"/>
    <x v="97"/>
    <x v="775"/>
    <x v="3"/>
    <x v="941"/>
    <x v="0"/>
    <x v="657"/>
    <x v="3"/>
  </r>
  <r>
    <x v="1052"/>
    <x v="1007"/>
    <x v="28"/>
    <x v="91"/>
    <x v="97"/>
    <x v="775"/>
    <x v="3"/>
    <x v="0"/>
    <x v="0"/>
    <x v="657"/>
    <x v="3"/>
  </r>
  <r>
    <x v="1052"/>
    <x v="1007"/>
    <x v="34"/>
    <x v="91"/>
    <x v="97"/>
    <x v="775"/>
    <x v="3"/>
    <x v="941"/>
    <x v="0"/>
    <x v="657"/>
    <x v="0"/>
  </r>
  <r>
    <x v="1052"/>
    <x v="1011"/>
    <x v="24"/>
    <x v="49"/>
    <x v="51"/>
    <x v="0"/>
    <x v="0"/>
    <x v="0"/>
    <x v="1266"/>
    <x v="657"/>
    <x v="0"/>
  </r>
  <r>
    <x v="1052"/>
    <x v="1011"/>
    <x v="38"/>
    <x v="82"/>
    <x v="87"/>
    <x v="0"/>
    <x v="0"/>
    <x v="837"/>
    <x v="1207"/>
    <x v="1244"/>
    <x v="0"/>
  </r>
  <r>
    <x v="1053"/>
    <x v="1012"/>
    <x v="38"/>
    <x v="82"/>
    <x v="87"/>
    <x v="0"/>
    <x v="0"/>
    <x v="837"/>
    <x v="1207"/>
    <x v="1244"/>
    <x v="0"/>
  </r>
  <r>
    <x v="1053"/>
    <x v="1012"/>
    <x v="24"/>
    <x v="49"/>
    <x v="51"/>
    <x v="0"/>
    <x v="0"/>
    <x v="0"/>
    <x v="1208"/>
    <x v="657"/>
    <x v="0"/>
  </r>
  <r>
    <x v="1054"/>
    <x v="1013"/>
    <x v="38"/>
    <x v="82"/>
    <x v="87"/>
    <x v="0"/>
    <x v="0"/>
    <x v="837"/>
    <x v="1207"/>
    <x v="1244"/>
    <x v="0"/>
  </r>
  <r>
    <x v="1054"/>
    <x v="1013"/>
    <x v="24"/>
    <x v="49"/>
    <x v="51"/>
    <x v="0"/>
    <x v="0"/>
    <x v="0"/>
    <x v="1208"/>
    <x v="657"/>
    <x v="0"/>
  </r>
  <r>
    <x v="1055"/>
    <x v="1014"/>
    <x v="38"/>
    <x v="82"/>
    <x v="87"/>
    <x v="0"/>
    <x v="0"/>
    <x v="837"/>
    <x v="1207"/>
    <x v="1244"/>
    <x v="0"/>
  </r>
  <r>
    <x v="1055"/>
    <x v="1014"/>
    <x v="24"/>
    <x v="49"/>
    <x v="51"/>
    <x v="0"/>
    <x v="0"/>
    <x v="0"/>
    <x v="1208"/>
    <x v="657"/>
    <x v="0"/>
  </r>
  <r>
    <x v="1056"/>
    <x v="1015"/>
    <x v="38"/>
    <x v="82"/>
    <x v="87"/>
    <x v="0"/>
    <x v="0"/>
    <x v="867"/>
    <x v="1264"/>
    <x v="1254"/>
    <x v="0"/>
  </r>
  <r>
    <x v="1056"/>
    <x v="1015"/>
    <x v="24"/>
    <x v="49"/>
    <x v="51"/>
    <x v="0"/>
    <x v="0"/>
    <x v="0"/>
    <x v="1208"/>
    <x v="657"/>
    <x v="0"/>
  </r>
  <r>
    <x v="1057"/>
    <x v="1016"/>
    <x v="38"/>
    <x v="82"/>
    <x v="87"/>
    <x v="0"/>
    <x v="0"/>
    <x v="837"/>
    <x v="1207"/>
    <x v="1244"/>
    <x v="0"/>
  </r>
  <r>
    <x v="1057"/>
    <x v="1016"/>
    <x v="24"/>
    <x v="49"/>
    <x v="51"/>
    <x v="0"/>
    <x v="0"/>
    <x v="0"/>
    <x v="1266"/>
    <x v="657"/>
    <x v="0"/>
  </r>
  <r>
    <x v="1058"/>
    <x v="1017"/>
    <x v="38"/>
    <x v="82"/>
    <x v="87"/>
    <x v="0"/>
    <x v="0"/>
    <x v="837"/>
    <x v="1207"/>
    <x v="1244"/>
    <x v="0"/>
  </r>
  <r>
    <x v="1058"/>
    <x v="1017"/>
    <x v="23"/>
    <x v="49"/>
    <x v="51"/>
    <x v="0"/>
    <x v="0"/>
    <x v="0"/>
    <x v="1441"/>
    <x v="1556"/>
    <x v="0"/>
  </r>
  <r>
    <x v="1058"/>
    <x v="1017"/>
    <x v="3"/>
    <x v="91"/>
    <x v="97"/>
    <x v="776"/>
    <x v="3"/>
    <x v="942"/>
    <x v="1442"/>
    <x v="657"/>
    <x v="0"/>
  </r>
  <r>
    <x v="1059"/>
    <x v="1018"/>
    <x v="24"/>
    <x v="49"/>
    <x v="51"/>
    <x v="0"/>
    <x v="0"/>
    <x v="0"/>
    <x v="1208"/>
    <x v="657"/>
    <x v="0"/>
  </r>
  <r>
    <x v="1059"/>
    <x v="1018"/>
    <x v="38"/>
    <x v="82"/>
    <x v="87"/>
    <x v="0"/>
    <x v="0"/>
    <x v="837"/>
    <x v="1207"/>
    <x v="1244"/>
    <x v="0"/>
  </r>
  <r>
    <x v="1060"/>
    <x v="1019"/>
    <x v="38"/>
    <x v="82"/>
    <x v="87"/>
    <x v="0"/>
    <x v="0"/>
    <x v="837"/>
    <x v="1207"/>
    <x v="1244"/>
    <x v="0"/>
  </r>
  <r>
    <x v="1060"/>
    <x v="1019"/>
    <x v="24"/>
    <x v="49"/>
    <x v="51"/>
    <x v="0"/>
    <x v="0"/>
    <x v="0"/>
    <x v="1208"/>
    <x v="657"/>
    <x v="0"/>
  </r>
  <r>
    <x v="1061"/>
    <x v="1020"/>
    <x v="24"/>
    <x v="49"/>
    <x v="51"/>
    <x v="0"/>
    <x v="0"/>
    <x v="0"/>
    <x v="1208"/>
    <x v="657"/>
    <x v="0"/>
  </r>
  <r>
    <x v="1061"/>
    <x v="1020"/>
    <x v="38"/>
    <x v="82"/>
    <x v="87"/>
    <x v="0"/>
    <x v="0"/>
    <x v="867"/>
    <x v="1264"/>
    <x v="1254"/>
    <x v="0"/>
  </r>
  <r>
    <x v="1062"/>
    <x v="1021"/>
    <x v="24"/>
    <x v="49"/>
    <x v="51"/>
    <x v="0"/>
    <x v="0"/>
    <x v="0"/>
    <x v="1266"/>
    <x v="657"/>
    <x v="0"/>
  </r>
  <r>
    <x v="1062"/>
    <x v="1021"/>
    <x v="38"/>
    <x v="82"/>
    <x v="87"/>
    <x v="0"/>
    <x v="0"/>
    <x v="837"/>
    <x v="1207"/>
    <x v="1244"/>
    <x v="0"/>
  </r>
  <r>
    <x v="1063"/>
    <x v="1022"/>
    <x v="38"/>
    <x v="82"/>
    <x v="87"/>
    <x v="0"/>
    <x v="0"/>
    <x v="837"/>
    <x v="1207"/>
    <x v="1244"/>
    <x v="0"/>
  </r>
  <r>
    <x v="1063"/>
    <x v="1022"/>
    <x v="24"/>
    <x v="49"/>
    <x v="51"/>
    <x v="0"/>
    <x v="0"/>
    <x v="0"/>
    <x v="1208"/>
    <x v="657"/>
    <x v="0"/>
  </r>
  <r>
    <x v="1064"/>
    <x v="1023"/>
    <x v="38"/>
    <x v="82"/>
    <x v="87"/>
    <x v="0"/>
    <x v="0"/>
    <x v="837"/>
    <x v="1207"/>
    <x v="1244"/>
    <x v="0"/>
  </r>
  <r>
    <x v="1064"/>
    <x v="1023"/>
    <x v="24"/>
    <x v="49"/>
    <x v="51"/>
    <x v="0"/>
    <x v="0"/>
    <x v="0"/>
    <x v="1208"/>
    <x v="657"/>
    <x v="0"/>
  </r>
  <r>
    <x v="1065"/>
    <x v="1024"/>
    <x v="38"/>
    <x v="82"/>
    <x v="87"/>
    <x v="0"/>
    <x v="0"/>
    <x v="837"/>
    <x v="1207"/>
    <x v="1244"/>
    <x v="0"/>
  </r>
  <r>
    <x v="1065"/>
    <x v="1024"/>
    <x v="24"/>
    <x v="49"/>
    <x v="51"/>
    <x v="0"/>
    <x v="0"/>
    <x v="0"/>
    <x v="1208"/>
    <x v="657"/>
    <x v="0"/>
  </r>
  <r>
    <x v="1066"/>
    <x v="1025"/>
    <x v="38"/>
    <x v="82"/>
    <x v="87"/>
    <x v="0"/>
    <x v="0"/>
    <x v="943"/>
    <x v="1443"/>
    <x v="1557"/>
    <x v="0"/>
  </r>
  <r>
    <x v="1066"/>
    <x v="1025"/>
    <x v="24"/>
    <x v="49"/>
    <x v="51"/>
    <x v="0"/>
    <x v="0"/>
    <x v="0"/>
    <x v="1208"/>
    <x v="657"/>
    <x v="0"/>
  </r>
  <r>
    <x v="1067"/>
    <x v="1026"/>
    <x v="24"/>
    <x v="49"/>
    <x v="51"/>
    <x v="0"/>
    <x v="0"/>
    <x v="0"/>
    <x v="1444"/>
    <x v="657"/>
    <x v="0"/>
  </r>
  <r>
    <x v="1067"/>
    <x v="1026"/>
    <x v="38"/>
    <x v="82"/>
    <x v="87"/>
    <x v="0"/>
    <x v="0"/>
    <x v="837"/>
    <x v="1207"/>
    <x v="1244"/>
    <x v="0"/>
  </r>
  <r>
    <x v="1068"/>
    <x v="1027"/>
    <x v="24"/>
    <x v="49"/>
    <x v="51"/>
    <x v="0"/>
    <x v="0"/>
    <x v="0"/>
    <x v="1208"/>
    <x v="657"/>
    <x v="0"/>
  </r>
  <r>
    <x v="1068"/>
    <x v="1027"/>
    <x v="38"/>
    <x v="82"/>
    <x v="87"/>
    <x v="0"/>
    <x v="0"/>
    <x v="837"/>
    <x v="1207"/>
    <x v="1244"/>
    <x v="0"/>
  </r>
  <r>
    <x v="1069"/>
    <x v="1028"/>
    <x v="24"/>
    <x v="49"/>
    <x v="51"/>
    <x v="0"/>
    <x v="0"/>
    <x v="0"/>
    <x v="1208"/>
    <x v="657"/>
    <x v="0"/>
  </r>
  <r>
    <x v="1069"/>
    <x v="1028"/>
    <x v="38"/>
    <x v="82"/>
    <x v="87"/>
    <x v="0"/>
    <x v="0"/>
    <x v="837"/>
    <x v="1207"/>
    <x v="1244"/>
    <x v="0"/>
  </r>
  <r>
    <x v="1070"/>
    <x v="1029"/>
    <x v="24"/>
    <x v="49"/>
    <x v="51"/>
    <x v="0"/>
    <x v="0"/>
    <x v="0"/>
    <x v="1208"/>
    <x v="657"/>
    <x v="0"/>
  </r>
  <r>
    <x v="1070"/>
    <x v="1029"/>
    <x v="38"/>
    <x v="82"/>
    <x v="87"/>
    <x v="0"/>
    <x v="0"/>
    <x v="837"/>
    <x v="1207"/>
    <x v="1244"/>
    <x v="0"/>
  </r>
  <r>
    <x v="1071"/>
    <x v="1030"/>
    <x v="38"/>
    <x v="82"/>
    <x v="87"/>
    <x v="0"/>
    <x v="0"/>
    <x v="867"/>
    <x v="1264"/>
    <x v="1254"/>
    <x v="0"/>
  </r>
  <r>
    <x v="1071"/>
    <x v="1030"/>
    <x v="24"/>
    <x v="49"/>
    <x v="51"/>
    <x v="0"/>
    <x v="0"/>
    <x v="0"/>
    <x v="1208"/>
    <x v="657"/>
    <x v="0"/>
  </r>
  <r>
    <x v="1072"/>
    <x v="1031"/>
    <x v="24"/>
    <x v="49"/>
    <x v="51"/>
    <x v="0"/>
    <x v="0"/>
    <x v="0"/>
    <x v="1266"/>
    <x v="657"/>
    <x v="0"/>
  </r>
  <r>
    <x v="1072"/>
    <x v="1031"/>
    <x v="38"/>
    <x v="82"/>
    <x v="87"/>
    <x v="0"/>
    <x v="0"/>
    <x v="837"/>
    <x v="1207"/>
    <x v="1244"/>
    <x v="0"/>
  </r>
  <r>
    <x v="1073"/>
    <x v="1032"/>
    <x v="38"/>
    <x v="82"/>
    <x v="87"/>
    <x v="0"/>
    <x v="0"/>
    <x v="837"/>
    <x v="1207"/>
    <x v="1244"/>
    <x v="0"/>
  </r>
  <r>
    <x v="1073"/>
    <x v="1032"/>
    <x v="24"/>
    <x v="49"/>
    <x v="51"/>
    <x v="0"/>
    <x v="0"/>
    <x v="0"/>
    <x v="1208"/>
    <x v="657"/>
    <x v="0"/>
  </r>
  <r>
    <x v="1074"/>
    <x v="1033"/>
    <x v="38"/>
    <x v="82"/>
    <x v="87"/>
    <x v="0"/>
    <x v="0"/>
    <x v="837"/>
    <x v="1207"/>
    <x v="1244"/>
    <x v="0"/>
  </r>
  <r>
    <x v="1074"/>
    <x v="1033"/>
    <x v="24"/>
    <x v="49"/>
    <x v="51"/>
    <x v="0"/>
    <x v="0"/>
    <x v="0"/>
    <x v="1208"/>
    <x v="657"/>
    <x v="0"/>
  </r>
  <r>
    <x v="1075"/>
    <x v="1034"/>
    <x v="24"/>
    <x v="49"/>
    <x v="51"/>
    <x v="0"/>
    <x v="0"/>
    <x v="0"/>
    <x v="1208"/>
    <x v="657"/>
    <x v="0"/>
  </r>
  <r>
    <x v="1075"/>
    <x v="1034"/>
    <x v="38"/>
    <x v="82"/>
    <x v="87"/>
    <x v="0"/>
    <x v="0"/>
    <x v="837"/>
    <x v="1207"/>
    <x v="1244"/>
    <x v="0"/>
  </r>
  <r>
    <x v="1076"/>
    <x v="1035"/>
    <x v="38"/>
    <x v="82"/>
    <x v="87"/>
    <x v="0"/>
    <x v="0"/>
    <x v="867"/>
    <x v="1264"/>
    <x v="1254"/>
    <x v="0"/>
  </r>
  <r>
    <x v="1076"/>
    <x v="1035"/>
    <x v="24"/>
    <x v="49"/>
    <x v="51"/>
    <x v="0"/>
    <x v="0"/>
    <x v="0"/>
    <x v="1208"/>
    <x v="657"/>
    <x v="0"/>
  </r>
  <r>
    <x v="1077"/>
    <x v="1036"/>
    <x v="24"/>
    <x v="49"/>
    <x v="51"/>
    <x v="0"/>
    <x v="0"/>
    <x v="0"/>
    <x v="1266"/>
    <x v="657"/>
    <x v="0"/>
  </r>
  <r>
    <x v="1077"/>
    <x v="1036"/>
    <x v="38"/>
    <x v="82"/>
    <x v="87"/>
    <x v="0"/>
    <x v="0"/>
    <x v="837"/>
    <x v="1207"/>
    <x v="1244"/>
    <x v="0"/>
  </r>
  <r>
    <x v="1078"/>
    <x v="1037"/>
    <x v="38"/>
    <x v="82"/>
    <x v="87"/>
    <x v="0"/>
    <x v="0"/>
    <x v="837"/>
    <x v="1207"/>
    <x v="1244"/>
    <x v="0"/>
  </r>
  <r>
    <x v="1078"/>
    <x v="1037"/>
    <x v="24"/>
    <x v="49"/>
    <x v="51"/>
    <x v="0"/>
    <x v="0"/>
    <x v="0"/>
    <x v="1208"/>
    <x v="657"/>
    <x v="0"/>
  </r>
  <r>
    <x v="1079"/>
    <x v="1038"/>
    <x v="24"/>
    <x v="49"/>
    <x v="51"/>
    <x v="0"/>
    <x v="0"/>
    <x v="0"/>
    <x v="1208"/>
    <x v="657"/>
    <x v="0"/>
  </r>
  <r>
    <x v="1079"/>
    <x v="1038"/>
    <x v="38"/>
    <x v="82"/>
    <x v="87"/>
    <x v="0"/>
    <x v="0"/>
    <x v="837"/>
    <x v="1207"/>
    <x v="1244"/>
    <x v="0"/>
  </r>
  <r>
    <x v="1080"/>
    <x v="1039"/>
    <x v="24"/>
    <x v="49"/>
    <x v="51"/>
    <x v="0"/>
    <x v="0"/>
    <x v="0"/>
    <x v="1208"/>
    <x v="657"/>
    <x v="0"/>
  </r>
  <r>
    <x v="1080"/>
    <x v="1039"/>
    <x v="38"/>
    <x v="82"/>
    <x v="87"/>
    <x v="0"/>
    <x v="0"/>
    <x v="837"/>
    <x v="1207"/>
    <x v="1244"/>
    <x v="0"/>
  </r>
  <r>
    <x v="1081"/>
    <x v="1040"/>
    <x v="24"/>
    <x v="49"/>
    <x v="51"/>
    <x v="0"/>
    <x v="0"/>
    <x v="0"/>
    <x v="1208"/>
    <x v="657"/>
    <x v="0"/>
  </r>
  <r>
    <x v="1081"/>
    <x v="1040"/>
    <x v="38"/>
    <x v="82"/>
    <x v="87"/>
    <x v="0"/>
    <x v="0"/>
    <x v="867"/>
    <x v="1264"/>
    <x v="1254"/>
    <x v="0"/>
  </r>
  <r>
    <x v="1082"/>
    <x v="1041"/>
    <x v="24"/>
    <x v="49"/>
    <x v="51"/>
    <x v="0"/>
    <x v="0"/>
    <x v="0"/>
    <x v="1266"/>
    <x v="657"/>
    <x v="0"/>
  </r>
  <r>
    <x v="1082"/>
    <x v="1041"/>
    <x v="38"/>
    <x v="82"/>
    <x v="87"/>
    <x v="0"/>
    <x v="0"/>
    <x v="837"/>
    <x v="1207"/>
    <x v="1244"/>
    <x v="0"/>
  </r>
  <r>
    <x v="1083"/>
    <x v="1042"/>
    <x v="38"/>
    <x v="82"/>
    <x v="87"/>
    <x v="0"/>
    <x v="0"/>
    <x v="837"/>
    <x v="1207"/>
    <x v="1244"/>
    <x v="0"/>
  </r>
  <r>
    <x v="1083"/>
    <x v="1042"/>
    <x v="24"/>
    <x v="49"/>
    <x v="51"/>
    <x v="0"/>
    <x v="0"/>
    <x v="0"/>
    <x v="1208"/>
    <x v="657"/>
    <x v="0"/>
  </r>
  <r>
    <x v="1084"/>
    <x v="1043"/>
    <x v="24"/>
    <x v="49"/>
    <x v="51"/>
    <x v="0"/>
    <x v="0"/>
    <x v="0"/>
    <x v="1208"/>
    <x v="657"/>
    <x v="0"/>
  </r>
  <r>
    <x v="1084"/>
    <x v="1043"/>
    <x v="38"/>
    <x v="82"/>
    <x v="87"/>
    <x v="0"/>
    <x v="0"/>
    <x v="837"/>
    <x v="1207"/>
    <x v="1244"/>
    <x v="0"/>
  </r>
  <r>
    <x v="1085"/>
    <x v="1044"/>
    <x v="24"/>
    <x v="49"/>
    <x v="51"/>
    <x v="0"/>
    <x v="0"/>
    <x v="0"/>
    <x v="1208"/>
    <x v="657"/>
    <x v="0"/>
  </r>
  <r>
    <x v="1085"/>
    <x v="1044"/>
    <x v="38"/>
    <x v="82"/>
    <x v="87"/>
    <x v="0"/>
    <x v="0"/>
    <x v="837"/>
    <x v="1207"/>
    <x v="1244"/>
    <x v="0"/>
  </r>
  <r>
    <x v="1086"/>
    <x v="1045"/>
    <x v="38"/>
    <x v="82"/>
    <x v="87"/>
    <x v="0"/>
    <x v="0"/>
    <x v="867"/>
    <x v="1264"/>
    <x v="1254"/>
    <x v="0"/>
  </r>
  <r>
    <x v="1086"/>
    <x v="1045"/>
    <x v="24"/>
    <x v="49"/>
    <x v="51"/>
    <x v="0"/>
    <x v="0"/>
    <x v="0"/>
    <x v="1208"/>
    <x v="657"/>
    <x v="0"/>
  </r>
  <r>
    <x v="1087"/>
    <x v="1046"/>
    <x v="24"/>
    <x v="49"/>
    <x v="51"/>
    <x v="0"/>
    <x v="0"/>
    <x v="0"/>
    <x v="1266"/>
    <x v="657"/>
    <x v="0"/>
  </r>
  <r>
    <x v="1087"/>
    <x v="1046"/>
    <x v="38"/>
    <x v="82"/>
    <x v="87"/>
    <x v="0"/>
    <x v="0"/>
    <x v="837"/>
    <x v="1207"/>
    <x v="1244"/>
    <x v="0"/>
  </r>
  <r>
    <x v="1088"/>
    <x v="1047"/>
    <x v="38"/>
    <x v="82"/>
    <x v="87"/>
    <x v="0"/>
    <x v="0"/>
    <x v="837"/>
    <x v="1207"/>
    <x v="1244"/>
    <x v="0"/>
  </r>
  <r>
    <x v="1088"/>
    <x v="1047"/>
    <x v="24"/>
    <x v="49"/>
    <x v="51"/>
    <x v="0"/>
    <x v="0"/>
    <x v="0"/>
    <x v="1208"/>
    <x v="657"/>
    <x v="0"/>
  </r>
  <r>
    <x v="1089"/>
    <x v="1048"/>
    <x v="24"/>
    <x v="49"/>
    <x v="51"/>
    <x v="0"/>
    <x v="0"/>
    <x v="0"/>
    <x v="1208"/>
    <x v="657"/>
    <x v="0"/>
  </r>
  <r>
    <x v="1089"/>
    <x v="1048"/>
    <x v="38"/>
    <x v="82"/>
    <x v="87"/>
    <x v="0"/>
    <x v="0"/>
    <x v="850"/>
    <x v="1232"/>
    <x v="1189"/>
    <x v="0"/>
  </r>
  <r>
    <x v="1090"/>
    <x v="1049"/>
    <x v="38"/>
    <x v="82"/>
    <x v="87"/>
    <x v="0"/>
    <x v="0"/>
    <x v="837"/>
    <x v="1207"/>
    <x v="1244"/>
    <x v="0"/>
  </r>
  <r>
    <x v="1090"/>
    <x v="1049"/>
    <x v="24"/>
    <x v="49"/>
    <x v="51"/>
    <x v="0"/>
    <x v="0"/>
    <x v="0"/>
    <x v="1233"/>
    <x v="657"/>
    <x v="0"/>
  </r>
  <r>
    <x v="1091"/>
    <x v="1050"/>
    <x v="38"/>
    <x v="82"/>
    <x v="87"/>
    <x v="0"/>
    <x v="0"/>
    <x v="944"/>
    <x v="1332"/>
    <x v="1384"/>
    <x v="0"/>
  </r>
  <r>
    <x v="1091"/>
    <x v="1050"/>
    <x v="24"/>
    <x v="49"/>
    <x v="51"/>
    <x v="0"/>
    <x v="0"/>
    <x v="0"/>
    <x v="1208"/>
    <x v="657"/>
    <x v="0"/>
  </r>
  <r>
    <x v="1092"/>
    <x v="1051"/>
    <x v="24"/>
    <x v="49"/>
    <x v="51"/>
    <x v="0"/>
    <x v="0"/>
    <x v="0"/>
    <x v="1333"/>
    <x v="657"/>
    <x v="0"/>
  </r>
  <r>
    <x v="1092"/>
    <x v="1051"/>
    <x v="38"/>
    <x v="82"/>
    <x v="87"/>
    <x v="0"/>
    <x v="0"/>
    <x v="850"/>
    <x v="1232"/>
    <x v="1189"/>
    <x v="0"/>
  </r>
  <r>
    <x v="1093"/>
    <x v="1052"/>
    <x v="38"/>
    <x v="82"/>
    <x v="87"/>
    <x v="0"/>
    <x v="0"/>
    <x v="850"/>
    <x v="1232"/>
    <x v="1189"/>
    <x v="0"/>
  </r>
  <r>
    <x v="1093"/>
    <x v="1052"/>
    <x v="24"/>
    <x v="49"/>
    <x v="51"/>
    <x v="0"/>
    <x v="0"/>
    <x v="0"/>
    <x v="1233"/>
    <x v="657"/>
    <x v="0"/>
  </r>
  <r>
    <x v="1094"/>
    <x v="1053"/>
    <x v="38"/>
    <x v="82"/>
    <x v="87"/>
    <x v="0"/>
    <x v="0"/>
    <x v="850"/>
    <x v="1232"/>
    <x v="1189"/>
    <x v="0"/>
  </r>
  <r>
    <x v="1094"/>
    <x v="1053"/>
    <x v="24"/>
    <x v="49"/>
    <x v="51"/>
    <x v="0"/>
    <x v="0"/>
    <x v="0"/>
    <x v="1233"/>
    <x v="657"/>
    <x v="0"/>
  </r>
  <r>
    <x v="1095"/>
    <x v="1054"/>
    <x v="24"/>
    <x v="49"/>
    <x v="51"/>
    <x v="0"/>
    <x v="0"/>
    <x v="0"/>
    <x v="1233"/>
    <x v="1348"/>
    <x v="0"/>
  </r>
  <r>
    <x v="1095"/>
    <x v="1054"/>
    <x v="38"/>
    <x v="82"/>
    <x v="87"/>
    <x v="0"/>
    <x v="0"/>
    <x v="837"/>
    <x v="1207"/>
    <x v="1347"/>
    <x v="0"/>
  </r>
  <r>
    <x v="1095"/>
    <x v="1054"/>
    <x v="5"/>
    <x v="82"/>
    <x v="87"/>
    <x v="0"/>
    <x v="0"/>
    <x v="0"/>
    <x v="1299"/>
    <x v="1558"/>
    <x v="0"/>
  </r>
  <r>
    <x v="1096"/>
    <x v="1055"/>
    <x v="38"/>
    <x v="82"/>
    <x v="87"/>
    <x v="0"/>
    <x v="0"/>
    <x v="867"/>
    <x v="1264"/>
    <x v="1559"/>
    <x v="0"/>
  </r>
  <r>
    <x v="1097"/>
    <x v="1056"/>
    <x v="38"/>
    <x v="82"/>
    <x v="87"/>
    <x v="0"/>
    <x v="0"/>
    <x v="837"/>
    <x v="1207"/>
    <x v="1560"/>
    <x v="0"/>
  </r>
  <r>
    <x v="1097"/>
    <x v="1057"/>
    <x v="25"/>
    <x v="49"/>
    <x v="51"/>
    <x v="0"/>
    <x v="0"/>
    <x v="945"/>
    <x v="1445"/>
    <x v="1561"/>
    <x v="0"/>
  </r>
  <r>
    <x v="1098"/>
    <x v="1058"/>
    <x v="38"/>
    <x v="82"/>
    <x v="87"/>
    <x v="0"/>
    <x v="0"/>
    <x v="837"/>
    <x v="1207"/>
    <x v="1562"/>
    <x v="0"/>
  </r>
  <r>
    <x v="1099"/>
    <x v="1059"/>
    <x v="38"/>
    <x v="82"/>
    <x v="87"/>
    <x v="0"/>
    <x v="0"/>
    <x v="837"/>
    <x v="1207"/>
    <x v="1563"/>
    <x v="0"/>
  </r>
  <r>
    <x v="1100"/>
    <x v="1060"/>
    <x v="38"/>
    <x v="82"/>
    <x v="87"/>
    <x v="0"/>
    <x v="0"/>
    <x v="837"/>
    <x v="1207"/>
    <x v="1564"/>
    <x v="0"/>
  </r>
  <r>
    <x v="1101"/>
    <x v="1061"/>
    <x v="38"/>
    <x v="82"/>
    <x v="87"/>
    <x v="0"/>
    <x v="0"/>
    <x v="867"/>
    <x v="1264"/>
    <x v="1565"/>
    <x v="0"/>
  </r>
  <r>
    <x v="1102"/>
    <x v="1062"/>
    <x v="38"/>
    <x v="82"/>
    <x v="87"/>
    <x v="0"/>
    <x v="0"/>
    <x v="837"/>
    <x v="1207"/>
    <x v="1566"/>
    <x v="0"/>
  </r>
  <r>
    <x v="1103"/>
    <x v="1063"/>
    <x v="38"/>
    <x v="82"/>
    <x v="87"/>
    <x v="0"/>
    <x v="0"/>
    <x v="837"/>
    <x v="1207"/>
    <x v="1567"/>
    <x v="0"/>
  </r>
  <r>
    <x v="1104"/>
    <x v="1064"/>
    <x v="38"/>
    <x v="82"/>
    <x v="87"/>
    <x v="0"/>
    <x v="0"/>
    <x v="837"/>
    <x v="1207"/>
    <x v="1568"/>
    <x v="0"/>
  </r>
  <r>
    <x v="1105"/>
    <x v="1065"/>
    <x v="38"/>
    <x v="82"/>
    <x v="87"/>
    <x v="0"/>
    <x v="0"/>
    <x v="837"/>
    <x v="1207"/>
    <x v="1569"/>
    <x v="0"/>
  </r>
  <r>
    <x v="1106"/>
    <x v="1066"/>
    <x v="38"/>
    <x v="82"/>
    <x v="87"/>
    <x v="0"/>
    <x v="0"/>
    <x v="946"/>
    <x v="1446"/>
    <x v="1570"/>
    <x v="0"/>
  </r>
  <r>
    <x v="1107"/>
    <x v="1067"/>
    <x v="38"/>
    <x v="82"/>
    <x v="87"/>
    <x v="0"/>
    <x v="0"/>
    <x v="837"/>
    <x v="1207"/>
    <x v="1571"/>
    <x v="0"/>
  </r>
  <r>
    <x v="1108"/>
    <x v="1068"/>
    <x v="38"/>
    <x v="82"/>
    <x v="87"/>
    <x v="0"/>
    <x v="0"/>
    <x v="837"/>
    <x v="1207"/>
    <x v="1572"/>
    <x v="0"/>
  </r>
  <r>
    <x v="1109"/>
    <x v="1069"/>
    <x v="38"/>
    <x v="82"/>
    <x v="87"/>
    <x v="0"/>
    <x v="0"/>
    <x v="867"/>
    <x v="1264"/>
    <x v="1573"/>
    <x v="0"/>
  </r>
  <r>
    <x v="1110"/>
    <x v="1070"/>
    <x v="38"/>
    <x v="82"/>
    <x v="87"/>
    <x v="0"/>
    <x v="0"/>
    <x v="837"/>
    <x v="1207"/>
    <x v="1574"/>
    <x v="0"/>
  </r>
  <r>
    <x v="1111"/>
    <x v="1071"/>
    <x v="38"/>
    <x v="82"/>
    <x v="87"/>
    <x v="0"/>
    <x v="0"/>
    <x v="837"/>
    <x v="1207"/>
    <x v="1575"/>
    <x v="0"/>
  </r>
  <r>
    <x v="1112"/>
    <x v="1072"/>
    <x v="38"/>
    <x v="82"/>
    <x v="87"/>
    <x v="0"/>
    <x v="0"/>
    <x v="837"/>
    <x v="1207"/>
    <x v="1576"/>
    <x v="0"/>
  </r>
  <r>
    <x v="1113"/>
    <x v="1073"/>
    <x v="38"/>
    <x v="82"/>
    <x v="87"/>
    <x v="0"/>
    <x v="0"/>
    <x v="940"/>
    <x v="1437"/>
    <x v="1577"/>
    <x v="0"/>
  </r>
  <r>
    <x v="1114"/>
    <x v="1074"/>
    <x v="38"/>
    <x v="82"/>
    <x v="87"/>
    <x v="0"/>
    <x v="0"/>
    <x v="837"/>
    <x v="1207"/>
    <x v="1578"/>
    <x v="0"/>
  </r>
  <r>
    <x v="1115"/>
    <x v="1075"/>
    <x v="38"/>
    <x v="82"/>
    <x v="87"/>
    <x v="0"/>
    <x v="0"/>
    <x v="837"/>
    <x v="1207"/>
    <x v="1579"/>
    <x v="0"/>
  </r>
  <r>
    <x v="1116"/>
    <x v="1076"/>
    <x v="38"/>
    <x v="82"/>
    <x v="87"/>
    <x v="0"/>
    <x v="0"/>
    <x v="837"/>
    <x v="1207"/>
    <x v="1580"/>
    <x v="0"/>
  </r>
  <r>
    <x v="1117"/>
    <x v="1077"/>
    <x v="38"/>
    <x v="82"/>
    <x v="87"/>
    <x v="0"/>
    <x v="0"/>
    <x v="867"/>
    <x v="1264"/>
    <x v="1581"/>
    <x v="0"/>
  </r>
  <r>
    <x v="1118"/>
    <x v="1078"/>
    <x v="38"/>
    <x v="82"/>
    <x v="87"/>
    <x v="0"/>
    <x v="0"/>
    <x v="837"/>
    <x v="1207"/>
    <x v="1582"/>
    <x v="0"/>
  </r>
  <r>
    <x v="1119"/>
    <x v="1079"/>
    <x v="38"/>
    <x v="82"/>
    <x v="87"/>
    <x v="0"/>
    <x v="0"/>
    <x v="837"/>
    <x v="1207"/>
    <x v="1583"/>
    <x v="0"/>
  </r>
  <r>
    <x v="1120"/>
    <x v="1080"/>
    <x v="38"/>
    <x v="82"/>
    <x v="87"/>
    <x v="0"/>
    <x v="0"/>
    <x v="837"/>
    <x v="1207"/>
    <x v="1584"/>
    <x v="0"/>
  </r>
  <r>
    <x v="1121"/>
    <x v="1081"/>
    <x v="38"/>
    <x v="82"/>
    <x v="87"/>
    <x v="0"/>
    <x v="0"/>
    <x v="837"/>
    <x v="1207"/>
    <x v="1585"/>
    <x v="0"/>
  </r>
  <r>
    <x v="1122"/>
    <x v="1082"/>
    <x v="38"/>
    <x v="82"/>
    <x v="87"/>
    <x v="0"/>
    <x v="0"/>
    <x v="857"/>
    <x v="1245"/>
    <x v="1586"/>
    <x v="0"/>
  </r>
  <r>
    <x v="1123"/>
    <x v="1083"/>
    <x v="38"/>
    <x v="82"/>
    <x v="87"/>
    <x v="0"/>
    <x v="0"/>
    <x v="837"/>
    <x v="1207"/>
    <x v="1587"/>
    <x v="0"/>
  </r>
  <r>
    <x v="1124"/>
    <x v="1084"/>
    <x v="38"/>
    <x v="82"/>
    <x v="87"/>
    <x v="0"/>
    <x v="0"/>
    <x v="947"/>
    <x v="1447"/>
    <x v="1588"/>
    <x v="0"/>
  </r>
  <r>
    <x v="1125"/>
    <x v="1085"/>
    <x v="38"/>
    <x v="82"/>
    <x v="87"/>
    <x v="0"/>
    <x v="0"/>
    <x v="837"/>
    <x v="1207"/>
    <x v="1589"/>
    <x v="0"/>
  </r>
  <r>
    <x v="1126"/>
    <x v="1086"/>
    <x v="38"/>
    <x v="82"/>
    <x v="87"/>
    <x v="0"/>
    <x v="0"/>
    <x v="837"/>
    <x v="1207"/>
    <x v="1590"/>
    <x v="0"/>
  </r>
  <r>
    <x v="1127"/>
    <x v="1087"/>
    <x v="38"/>
    <x v="82"/>
    <x v="87"/>
    <x v="0"/>
    <x v="0"/>
    <x v="837"/>
    <x v="1207"/>
    <x v="1591"/>
    <x v="0"/>
  </r>
  <r>
    <x v="1128"/>
    <x v="1088"/>
    <x v="38"/>
    <x v="82"/>
    <x v="87"/>
    <x v="0"/>
    <x v="0"/>
    <x v="948"/>
    <x v="1448"/>
    <x v="1592"/>
    <x v="0"/>
  </r>
  <r>
    <x v="1129"/>
    <x v="1089"/>
    <x v="38"/>
    <x v="82"/>
    <x v="87"/>
    <x v="0"/>
    <x v="0"/>
    <x v="837"/>
    <x v="1207"/>
    <x v="1593"/>
    <x v="0"/>
  </r>
  <r>
    <x v="1130"/>
    <x v="1090"/>
    <x v="38"/>
    <x v="82"/>
    <x v="87"/>
    <x v="0"/>
    <x v="0"/>
    <x v="837"/>
    <x v="1207"/>
    <x v="1594"/>
    <x v="0"/>
  </r>
  <r>
    <x v="1131"/>
    <x v="1091"/>
    <x v="38"/>
    <x v="82"/>
    <x v="87"/>
    <x v="0"/>
    <x v="0"/>
    <x v="837"/>
    <x v="1207"/>
    <x v="1595"/>
    <x v="0"/>
  </r>
  <r>
    <x v="1132"/>
    <x v="1092"/>
    <x v="38"/>
    <x v="82"/>
    <x v="87"/>
    <x v="0"/>
    <x v="0"/>
    <x v="837"/>
    <x v="1207"/>
    <x v="1596"/>
    <x v="0"/>
  </r>
  <r>
    <x v="1133"/>
    <x v="1093"/>
    <x v="38"/>
    <x v="82"/>
    <x v="87"/>
    <x v="0"/>
    <x v="0"/>
    <x v="867"/>
    <x v="1264"/>
    <x v="1597"/>
    <x v="0"/>
  </r>
  <r>
    <x v="1134"/>
    <x v="1094"/>
    <x v="38"/>
    <x v="82"/>
    <x v="87"/>
    <x v="0"/>
    <x v="0"/>
    <x v="837"/>
    <x v="1207"/>
    <x v="1598"/>
    <x v="0"/>
  </r>
  <r>
    <x v="1135"/>
    <x v="1095"/>
    <x v="38"/>
    <x v="82"/>
    <x v="87"/>
    <x v="0"/>
    <x v="0"/>
    <x v="837"/>
    <x v="1207"/>
    <x v="1599"/>
    <x v="0"/>
  </r>
  <r>
    <x v="1136"/>
    <x v="1096"/>
    <x v="38"/>
    <x v="82"/>
    <x v="87"/>
    <x v="0"/>
    <x v="0"/>
    <x v="837"/>
    <x v="1207"/>
    <x v="1600"/>
    <x v="0"/>
  </r>
  <r>
    <x v="1137"/>
    <x v="1097"/>
    <x v="38"/>
    <x v="82"/>
    <x v="87"/>
    <x v="0"/>
    <x v="0"/>
    <x v="837"/>
    <x v="1207"/>
    <x v="1601"/>
    <x v="0"/>
  </r>
  <r>
    <x v="1138"/>
    <x v="1098"/>
    <x v="38"/>
    <x v="82"/>
    <x v="87"/>
    <x v="0"/>
    <x v="0"/>
    <x v="867"/>
    <x v="1264"/>
    <x v="1602"/>
    <x v="0"/>
  </r>
  <r>
    <x v="1139"/>
    <x v="1099"/>
    <x v="38"/>
    <x v="82"/>
    <x v="87"/>
    <x v="0"/>
    <x v="0"/>
    <x v="837"/>
    <x v="1207"/>
    <x v="1603"/>
    <x v="0"/>
  </r>
  <r>
    <x v="1140"/>
    <x v="1100"/>
    <x v="38"/>
    <x v="82"/>
    <x v="87"/>
    <x v="0"/>
    <x v="0"/>
    <x v="837"/>
    <x v="1207"/>
    <x v="1604"/>
    <x v="0"/>
  </r>
  <r>
    <x v="1141"/>
    <x v="1101"/>
    <x v="38"/>
    <x v="82"/>
    <x v="87"/>
    <x v="0"/>
    <x v="0"/>
    <x v="837"/>
    <x v="1207"/>
    <x v="1605"/>
    <x v="0"/>
  </r>
  <r>
    <x v="1142"/>
    <x v="1102"/>
    <x v="38"/>
    <x v="82"/>
    <x v="87"/>
    <x v="0"/>
    <x v="0"/>
    <x v="829"/>
    <x v="1190"/>
    <x v="1606"/>
    <x v="0"/>
  </r>
  <r>
    <x v="1143"/>
    <x v="1103"/>
    <x v="38"/>
    <x v="82"/>
    <x v="87"/>
    <x v="0"/>
    <x v="0"/>
    <x v="837"/>
    <x v="1207"/>
    <x v="1607"/>
    <x v="0"/>
  </r>
  <r>
    <x v="1144"/>
    <x v="1104"/>
    <x v="38"/>
    <x v="82"/>
    <x v="87"/>
    <x v="0"/>
    <x v="0"/>
    <x v="837"/>
    <x v="1207"/>
    <x v="1608"/>
    <x v="0"/>
  </r>
  <r>
    <x v="1145"/>
    <x v="1105"/>
    <x v="38"/>
    <x v="82"/>
    <x v="87"/>
    <x v="0"/>
    <x v="0"/>
    <x v="837"/>
    <x v="1207"/>
    <x v="1609"/>
    <x v="0"/>
  </r>
  <r>
    <x v="1146"/>
    <x v="1106"/>
    <x v="38"/>
    <x v="82"/>
    <x v="87"/>
    <x v="0"/>
    <x v="0"/>
    <x v="837"/>
    <x v="1207"/>
    <x v="1610"/>
    <x v="0"/>
  </r>
  <r>
    <x v="1147"/>
    <x v="1107"/>
    <x v="38"/>
    <x v="82"/>
    <x v="87"/>
    <x v="0"/>
    <x v="0"/>
    <x v="867"/>
    <x v="1264"/>
    <x v="1611"/>
    <x v="0"/>
  </r>
  <r>
    <x v="1148"/>
    <x v="1108"/>
    <x v="38"/>
    <x v="82"/>
    <x v="87"/>
    <x v="0"/>
    <x v="0"/>
    <x v="837"/>
    <x v="1207"/>
    <x v="1612"/>
    <x v="0"/>
  </r>
  <r>
    <x v="1149"/>
    <x v="1109"/>
    <x v="38"/>
    <x v="82"/>
    <x v="87"/>
    <x v="0"/>
    <x v="0"/>
    <x v="837"/>
    <x v="1207"/>
    <x v="1613"/>
    <x v="0"/>
  </r>
  <r>
    <x v="1150"/>
    <x v="1110"/>
    <x v="38"/>
    <x v="82"/>
    <x v="87"/>
    <x v="0"/>
    <x v="0"/>
    <x v="837"/>
    <x v="1207"/>
    <x v="1614"/>
    <x v="0"/>
  </r>
  <r>
    <x v="1151"/>
    <x v="1111"/>
    <x v="38"/>
    <x v="82"/>
    <x v="87"/>
    <x v="0"/>
    <x v="0"/>
    <x v="850"/>
    <x v="1232"/>
    <x v="1189"/>
    <x v="0"/>
  </r>
  <r>
    <x v="1151"/>
    <x v="1111"/>
    <x v="1"/>
    <x v="82"/>
    <x v="87"/>
    <x v="0"/>
    <x v="0"/>
    <x v="0"/>
    <x v="1449"/>
    <x v="1615"/>
    <x v="0"/>
  </r>
  <r>
    <x v="1151"/>
    <x v="1111"/>
    <x v="24"/>
    <x v="49"/>
    <x v="51"/>
    <x v="0"/>
    <x v="268"/>
    <x v="0"/>
    <x v="1450"/>
    <x v="1616"/>
    <x v="0"/>
  </r>
  <r>
    <x v="1151"/>
    <x v="1109"/>
    <x v="26"/>
    <x v="92"/>
    <x v="98"/>
    <x v="777"/>
    <x v="3"/>
    <x v="949"/>
    <x v="1451"/>
    <x v="657"/>
    <x v="0"/>
  </r>
  <r>
    <x v="1152"/>
    <x v="1112"/>
    <x v="38"/>
    <x v="82"/>
    <x v="87"/>
    <x v="0"/>
    <x v="0"/>
    <x v="859"/>
    <x v="1249"/>
    <x v="1384"/>
    <x v="0"/>
  </r>
  <r>
    <x v="1152"/>
    <x v="1112"/>
    <x v="5"/>
    <x v="82"/>
    <x v="87"/>
    <x v="0"/>
    <x v="0"/>
    <x v="0"/>
    <x v="32"/>
    <x v="1134"/>
    <x v="0"/>
  </r>
  <r>
    <x v="1152"/>
    <x v="1112"/>
    <x v="24"/>
    <x v="49"/>
    <x v="51"/>
    <x v="0"/>
    <x v="0"/>
    <x v="0"/>
    <x v="1233"/>
    <x v="1617"/>
    <x v="0"/>
  </r>
  <r>
    <x v="1152"/>
    <x v="1109"/>
    <x v="27"/>
    <x v="92"/>
    <x v="98"/>
    <x v="777"/>
    <x v="3"/>
    <x v="949"/>
    <x v="0"/>
    <x v="1617"/>
    <x v="3"/>
  </r>
  <r>
    <x v="1153"/>
    <x v="1113"/>
    <x v="23"/>
    <x v="49"/>
    <x v="51"/>
    <x v="0"/>
    <x v="0"/>
    <x v="0"/>
    <x v="1452"/>
    <x v="1618"/>
    <x v="0"/>
  </r>
  <r>
    <x v="1153"/>
    <x v="1113"/>
    <x v="38"/>
    <x v="82"/>
    <x v="87"/>
    <x v="0"/>
    <x v="0"/>
    <x v="850"/>
    <x v="1232"/>
    <x v="1189"/>
    <x v="0"/>
  </r>
  <r>
    <x v="1153"/>
    <x v="1111"/>
    <x v="44"/>
    <x v="85"/>
    <x v="90"/>
    <x v="778"/>
    <x v="26"/>
    <x v="950"/>
    <x v="1453"/>
    <x v="657"/>
    <x v="0"/>
  </r>
  <r>
    <x v="1154"/>
    <x v="1114"/>
    <x v="38"/>
    <x v="82"/>
    <x v="87"/>
    <x v="0"/>
    <x v="0"/>
    <x v="850"/>
    <x v="1232"/>
    <x v="1619"/>
    <x v="0"/>
  </r>
  <r>
    <x v="1154"/>
    <x v="1057"/>
    <x v="25"/>
    <x v="49"/>
    <x v="51"/>
    <x v="0"/>
    <x v="0"/>
    <x v="951"/>
    <x v="1454"/>
    <x v="1620"/>
    <x v="0"/>
  </r>
  <r>
    <x v="1154"/>
    <x v="1114"/>
    <x v="24"/>
    <x v="49"/>
    <x v="51"/>
    <x v="0"/>
    <x v="0"/>
    <x v="0"/>
    <x v="1233"/>
    <x v="657"/>
    <x v="0"/>
  </r>
  <r>
    <x v="1155"/>
    <x v="1115"/>
    <x v="30"/>
    <x v="72"/>
    <x v="73"/>
    <x v="0"/>
    <x v="0"/>
    <x v="513"/>
    <x v="289"/>
    <x v="1621"/>
    <x v="0"/>
  </r>
  <r>
    <x v="1155"/>
    <x v="1115"/>
    <x v="31"/>
    <x v="49"/>
    <x v="51"/>
    <x v="0"/>
    <x v="64"/>
    <x v="513"/>
    <x v="289"/>
    <x v="1621"/>
    <x v="0"/>
  </r>
  <r>
    <x v="1155"/>
    <x v="1109"/>
    <x v="34"/>
    <x v="92"/>
    <x v="63"/>
    <x v="777"/>
    <x v="3"/>
    <x v="949"/>
    <x v="0"/>
    <x v="1621"/>
    <x v="0"/>
  </r>
  <r>
    <x v="1155"/>
    <x v="1109"/>
    <x v="28"/>
    <x v="93"/>
    <x v="63"/>
    <x v="777"/>
    <x v="3"/>
    <x v="0"/>
    <x v="0"/>
    <x v="1621"/>
    <x v="3"/>
  </r>
  <r>
    <x v="1155"/>
    <x v="1115"/>
    <x v="30"/>
    <x v="72"/>
    <x v="73"/>
    <x v="0"/>
    <x v="0"/>
    <x v="0"/>
    <x v="1427"/>
    <x v="1619"/>
    <x v="0"/>
  </r>
  <r>
    <x v="1155"/>
    <x v="1115"/>
    <x v="38"/>
    <x v="82"/>
    <x v="87"/>
    <x v="0"/>
    <x v="0"/>
    <x v="850"/>
    <x v="1232"/>
    <x v="1622"/>
    <x v="0"/>
  </r>
  <r>
    <x v="1155"/>
    <x v="1115"/>
    <x v="4"/>
    <x v="82"/>
    <x v="87"/>
    <x v="0"/>
    <x v="0"/>
    <x v="0"/>
    <x v="1427"/>
    <x v="1619"/>
    <x v="0"/>
  </r>
  <r>
    <x v="1156"/>
    <x v="1116"/>
    <x v="38"/>
    <x v="82"/>
    <x v="87"/>
    <x v="0"/>
    <x v="0"/>
    <x v="850"/>
    <x v="1232"/>
    <x v="1623"/>
    <x v="0"/>
  </r>
  <r>
    <x v="1156"/>
    <x v="1116"/>
    <x v="41"/>
    <x v="81"/>
    <x v="88"/>
    <x v="779"/>
    <x v="230"/>
    <x v="952"/>
    <x v="1455"/>
    <x v="1624"/>
    <x v="150"/>
  </r>
  <r>
    <x v="1156"/>
    <x v="1116"/>
    <x v="3"/>
    <x v="93"/>
    <x v="99"/>
    <x v="780"/>
    <x v="3"/>
    <x v="953"/>
    <x v="1456"/>
    <x v="1625"/>
    <x v="0"/>
  </r>
  <r>
    <x v="1156"/>
    <x v="1116"/>
    <x v="24"/>
    <x v="49"/>
    <x v="51"/>
    <x v="0"/>
    <x v="269"/>
    <x v="0"/>
    <x v="1457"/>
    <x v="1626"/>
    <x v="0"/>
  </r>
  <r>
    <x v="1156"/>
    <x v="1116"/>
    <x v="2"/>
    <x v="51"/>
    <x v="53"/>
    <x v="781"/>
    <x v="270"/>
    <x v="954"/>
    <x v="1458"/>
    <x v="657"/>
    <x v="157"/>
  </r>
  <r>
    <x v="1157"/>
    <x v="1117"/>
    <x v="23"/>
    <x v="49"/>
    <x v="51"/>
    <x v="0"/>
    <x v="0"/>
    <x v="0"/>
    <x v="1459"/>
    <x v="657"/>
    <x v="0"/>
  </r>
  <r>
    <x v="1157"/>
    <x v="1117"/>
    <x v="38"/>
    <x v="82"/>
    <x v="87"/>
    <x v="0"/>
    <x v="0"/>
    <x v="859"/>
    <x v="1249"/>
    <x v="1236"/>
    <x v="0"/>
  </r>
  <r>
    <x v="1158"/>
    <x v="1118"/>
    <x v="24"/>
    <x v="49"/>
    <x v="51"/>
    <x v="0"/>
    <x v="0"/>
    <x v="0"/>
    <x v="1253"/>
    <x v="657"/>
    <x v="0"/>
  </r>
  <r>
    <x v="1158"/>
    <x v="1118"/>
    <x v="38"/>
    <x v="82"/>
    <x v="87"/>
    <x v="0"/>
    <x v="0"/>
    <x v="850"/>
    <x v="1232"/>
    <x v="1189"/>
    <x v="0"/>
  </r>
  <r>
    <x v="1159"/>
    <x v="1119"/>
    <x v="24"/>
    <x v="49"/>
    <x v="51"/>
    <x v="0"/>
    <x v="0"/>
    <x v="0"/>
    <x v="1233"/>
    <x v="657"/>
    <x v="0"/>
  </r>
  <r>
    <x v="1159"/>
    <x v="1119"/>
    <x v="38"/>
    <x v="82"/>
    <x v="87"/>
    <x v="0"/>
    <x v="0"/>
    <x v="850"/>
    <x v="1232"/>
    <x v="1189"/>
    <x v="0"/>
  </r>
  <r>
    <x v="1160"/>
    <x v="1120"/>
    <x v="24"/>
    <x v="49"/>
    <x v="51"/>
    <x v="0"/>
    <x v="0"/>
    <x v="0"/>
    <x v="1233"/>
    <x v="657"/>
    <x v="0"/>
  </r>
  <r>
    <x v="1160"/>
    <x v="1120"/>
    <x v="38"/>
    <x v="82"/>
    <x v="87"/>
    <x v="0"/>
    <x v="0"/>
    <x v="850"/>
    <x v="1232"/>
    <x v="1189"/>
    <x v="0"/>
  </r>
  <r>
    <x v="1161"/>
    <x v="253"/>
    <x v="45"/>
    <x v="1"/>
    <x v="1"/>
    <x v="782"/>
    <x v="271"/>
    <x v="955"/>
    <x v="1460"/>
    <x v="1627"/>
    <x v="1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B3:D113" firstHeaderRow="1" firstDataRow="1" firstDataCol="2"/>
  <pivotFields count="11">
    <pivotField compact="0" showAll="0">
      <items count="11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83"/>
        <item x="588"/>
        <item x="590"/>
        <item x="592"/>
        <item x="624"/>
        <item x="629"/>
        <item x="631"/>
        <item x="633"/>
        <item x="635"/>
        <item x="637"/>
        <item x="639"/>
        <item x="641"/>
        <item x="643"/>
        <item x="645"/>
        <item x="647"/>
        <item x="649"/>
        <item x="651"/>
        <item x="653"/>
        <item x="655"/>
        <item x="657"/>
        <item x="661"/>
        <item x="663"/>
        <item x="665"/>
        <item x="667"/>
        <item x="669"/>
        <item x="671"/>
        <item x="673"/>
        <item x="675"/>
        <item x="677"/>
        <item x="679"/>
        <item x="579"/>
        <item x="580"/>
        <item x="581"/>
        <item x="582"/>
        <item x="584"/>
        <item x="585"/>
        <item x="586"/>
        <item x="587"/>
        <item x="589"/>
        <item x="591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5"/>
        <item x="626"/>
        <item x="627"/>
        <item x="628"/>
        <item x="630"/>
        <item x="632"/>
        <item x="634"/>
        <item x="636"/>
        <item x="638"/>
        <item x="640"/>
        <item x="642"/>
        <item x="644"/>
        <item x="646"/>
        <item x="648"/>
        <item x="650"/>
        <item x="652"/>
        <item x="654"/>
        <item x="656"/>
        <item x="658"/>
        <item x="659"/>
        <item x="660"/>
        <item x="662"/>
        <item x="664"/>
        <item x="666"/>
        <item x="668"/>
        <item x="670"/>
        <item x="672"/>
        <item x="674"/>
        <item x="676"/>
        <item x="678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1161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t="default"/>
      </items>
    </pivotField>
    <pivotField compact="0" showAll="0">
      <items count="1122">
        <item x="9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7"/>
        <item x="446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7"/>
        <item x="516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43"/>
        <item x="548"/>
        <item x="550"/>
        <item x="253"/>
        <item x="583"/>
        <item x="588"/>
        <item x="590"/>
        <item x="592"/>
        <item x="594"/>
        <item x="596"/>
        <item x="598"/>
        <item x="600"/>
        <item x="602"/>
        <item x="604"/>
        <item x="606"/>
        <item x="608"/>
        <item x="610"/>
        <item x="612"/>
        <item x="614"/>
        <item x="616"/>
        <item x="620"/>
        <item x="622"/>
        <item x="624"/>
        <item x="626"/>
        <item x="628"/>
        <item x="630"/>
        <item x="632"/>
        <item x="634"/>
        <item x="636"/>
        <item x="638"/>
        <item x="538"/>
        <item x="539"/>
        <item x="540"/>
        <item x="541"/>
        <item x="542"/>
        <item x="544"/>
        <item x="545"/>
        <item x="546"/>
        <item x="547"/>
        <item x="549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4"/>
        <item x="585"/>
        <item x="586"/>
        <item x="587"/>
        <item x="589"/>
        <item x="591"/>
        <item x="593"/>
        <item x="595"/>
        <item x="597"/>
        <item x="599"/>
        <item x="601"/>
        <item x="603"/>
        <item x="605"/>
        <item x="607"/>
        <item x="609"/>
        <item x="611"/>
        <item x="613"/>
        <item x="615"/>
        <item x="617"/>
        <item x="618"/>
        <item x="619"/>
        <item x="621"/>
        <item x="623"/>
        <item x="625"/>
        <item x="627"/>
        <item x="629"/>
        <item x="631"/>
        <item x="633"/>
        <item x="635"/>
        <item x="637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t="default"/>
      </items>
    </pivotField>
    <pivotField axis="axisRow" compact="0" showAll="0">
      <items count="47">
        <item x="11"/>
        <item x="10"/>
        <item x="12"/>
        <item x="13"/>
        <item x="9"/>
        <item x="22"/>
        <item x="6"/>
        <item x="25"/>
        <item x="21"/>
        <item x="23"/>
        <item x="24"/>
        <item x="20"/>
        <item x="14"/>
        <item x="15"/>
        <item x="17"/>
        <item x="18"/>
        <item x="16"/>
        <item x="19"/>
        <item x="5"/>
        <item x="27"/>
        <item x="26"/>
        <item x="8"/>
        <item x="7"/>
        <item x="29"/>
        <item x="28"/>
        <item x="1"/>
        <item x="32"/>
        <item x="33"/>
        <item x="2"/>
        <item x="3"/>
        <item x="4"/>
        <item x="0"/>
        <item x="34"/>
        <item x="31"/>
        <item x="30"/>
        <item x="39"/>
        <item x="38"/>
        <item x="35"/>
        <item x="36"/>
        <item x="37"/>
        <item x="40"/>
        <item x="45"/>
        <item x="41"/>
        <item x="42"/>
        <item x="43"/>
        <item x="44"/>
        <item t="default"/>
      </items>
    </pivotField>
    <pivotField axis="axisRow" compact="0" multipleItemSelectionAllowed="1" showAll="0">
      <items count="97">
        <item sd="0" x="51"/>
        <item sd="0" x="10"/>
        <item sd="0" x="39"/>
        <item sd="0" x="58"/>
        <item sd="0" x="47"/>
        <item sd="0" x="62"/>
        <item sd="0" x="21"/>
        <item sd="0" x="38"/>
        <item sd="0" x="78"/>
        <item sd="0" x="63"/>
        <item sd="0" x="43"/>
        <item sd="0" x="33"/>
        <item sd="0" x="4"/>
        <item sd="0" x="50"/>
        <item sd="0" x="9"/>
        <item sd="0" x="40"/>
        <item sd="0" x="74"/>
        <item sd="0" x="79"/>
        <item sd="0" x="55"/>
        <item sd="0" x="69"/>
        <item sd="0" x="60"/>
        <item sd="0" x="67"/>
        <item sd="0" x="64"/>
        <item sd="0" x="72"/>
        <item sd="0" x="14"/>
        <item sd="0" x="61"/>
        <item sd="0" x="65"/>
        <item sd="0" x="70"/>
        <item sd="0" x="73"/>
        <item sd="0" x="7"/>
        <item sd="0" x="8"/>
        <item sd="0" x="11"/>
        <item sd="0" x="53"/>
        <item sd="0" x="52"/>
        <item sd="0" x="56"/>
        <item sd="0" x="27"/>
        <item sd="0" x="19"/>
        <item sd="0" x="22"/>
        <item sd="0" x="48"/>
        <item sd="0" x="66"/>
        <item sd="0" x="34"/>
        <item sd="0" x="54"/>
        <item sd="0" x="28"/>
        <item sd="0" x="29"/>
        <item sd="0" x="77"/>
        <item sd="0" x="30"/>
        <item sd="0" x="23"/>
        <item sd="0" x="35"/>
        <item sd="0" x="36"/>
        <item sd="0" x="59"/>
        <item sd="0" x="57"/>
        <item sd="0" x="26"/>
        <item sd="0" x="16"/>
        <item sd="0" x="20"/>
        <item sd="0" x="71"/>
        <item sd="0" x="80"/>
        <item sd="0" x="15"/>
        <item sd="0" x="45"/>
        <item sd="0" x="24"/>
        <item sd="0" x="5"/>
        <item sd="0" x="41"/>
        <item sd="0" x="46"/>
        <item sd="0" x="44"/>
        <item sd="0" x="6"/>
        <item sd="0" x="32"/>
        <item sd="0" x="2"/>
        <item sd="0" x="31"/>
        <item sd="0" x="3"/>
        <item sd="0" x="37"/>
        <item sd="0" x="42"/>
        <item sd="0" x="18"/>
        <item sd="0" x="17"/>
        <item sd="0" x="25"/>
        <item sd="0" x="13"/>
        <item sd="0" x="12"/>
        <item sd="0" x="76"/>
        <item sd="0" x="68"/>
        <item sd="0" x="75"/>
        <item x="0"/>
        <item x="49"/>
        <item x="1"/>
        <item sd="0" x="81"/>
        <item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m="1" x="94"/>
        <item sd="0" x="93"/>
        <item sd="0" m="1" x="95"/>
        <item t="default"/>
      </items>
    </pivotField>
    <pivotField compact="0" showAll="0">
      <items count="101">
        <item x="14"/>
        <item x="27"/>
        <item x="47"/>
        <item x="28"/>
        <item x="55"/>
        <item x="54"/>
        <item x="7"/>
        <item x="8"/>
        <item x="11"/>
        <item x="21"/>
        <item x="78"/>
        <item x="58"/>
        <item x="0"/>
        <item x="23"/>
        <item x="29"/>
        <item x="30"/>
        <item x="31"/>
        <item x="13"/>
        <item x="33"/>
        <item x="42"/>
        <item x="43"/>
        <item x="35"/>
        <item x="36"/>
        <item x="38"/>
        <item x="2"/>
        <item x="6"/>
        <item x="57"/>
        <item x="16"/>
        <item x="37"/>
        <item x="71"/>
        <item x="74"/>
        <item x="9"/>
        <item x="67"/>
        <item x="69"/>
        <item x="19"/>
        <item x="22"/>
        <item x="26"/>
        <item x="39"/>
        <item x="66"/>
        <item x="41"/>
        <item x="32"/>
        <item x="59"/>
        <item x="40"/>
        <item x="49"/>
        <item x="77"/>
        <item x="79"/>
        <item x="24"/>
        <item x="72"/>
        <item x="76"/>
        <item x="10"/>
        <item x="82"/>
        <item x="68"/>
        <item x="3"/>
        <item x="4"/>
        <item x="12"/>
        <item x="53"/>
        <item x="73"/>
        <item x="20"/>
        <item x="48"/>
        <item x="5"/>
        <item x="45"/>
        <item x="52"/>
        <item x="80"/>
        <item x="63"/>
        <item x="46"/>
        <item x="17"/>
        <item x="70"/>
        <item x="81"/>
        <item x="56"/>
        <item x="44"/>
        <item x="51"/>
        <item x="60"/>
        <item x="75"/>
        <item x="50"/>
        <item x="15"/>
        <item x="62"/>
        <item x="64"/>
        <item x="61"/>
        <item x="34"/>
        <item x="18"/>
        <item x="83"/>
        <item x="25"/>
        <item x="65"/>
        <item x="1"/>
        <item x="88"/>
        <item x="87"/>
        <item x="86"/>
        <item x="84"/>
        <item x="85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compact="0" showAll="0">
      <items count="784">
        <item x="0"/>
        <item x="581"/>
        <item x="643"/>
        <item x="630"/>
        <item x="633"/>
        <item x="298"/>
        <item x="636"/>
        <item x="641"/>
        <item x="646"/>
        <item x="580"/>
        <item x="645"/>
        <item x="471"/>
        <item x="694"/>
        <item x="698"/>
        <item x="600"/>
        <item x="297"/>
        <item x="629"/>
        <item x="634"/>
        <item x="650"/>
        <item x="468"/>
        <item x="571"/>
        <item x="695"/>
        <item x="667"/>
        <item x="668"/>
        <item x="657"/>
        <item x="659"/>
        <item x="673"/>
        <item x="682"/>
        <item x="655"/>
        <item x="671"/>
        <item x="628"/>
        <item x="674"/>
        <item x="669"/>
        <item x="679"/>
        <item x="658"/>
        <item x="318"/>
        <item x="675"/>
        <item x="661"/>
        <item x="505"/>
        <item x="666"/>
        <item x="490"/>
        <item x="492"/>
        <item x="662"/>
        <item x="506"/>
        <item x="486"/>
        <item x="504"/>
        <item x="626"/>
        <item x="495"/>
        <item x="501"/>
        <item x="573"/>
        <item x="496"/>
        <item x="508"/>
        <item x="577"/>
        <item x="576"/>
        <item x="575"/>
        <item x="676"/>
        <item x="574"/>
        <item x="579"/>
        <item x="625"/>
        <item x="680"/>
        <item x="509"/>
        <item x="639"/>
        <item x="632"/>
        <item x="519"/>
        <item x="518"/>
        <item x="511"/>
        <item x="683"/>
        <item x="512"/>
        <item x="510"/>
        <item x="517"/>
        <item x="564"/>
        <item x="516"/>
        <item x="535"/>
        <item x="514"/>
        <item x="561"/>
        <item x="563"/>
        <item x="560"/>
        <item x="610"/>
        <item x="521"/>
        <item x="534"/>
        <item x="522"/>
        <item x="545"/>
        <item x="524"/>
        <item x="546"/>
        <item x="547"/>
        <item x="557"/>
        <item x="532"/>
        <item x="527"/>
        <item x="554"/>
        <item x="552"/>
        <item x="533"/>
        <item x="550"/>
        <item x="528"/>
        <item x="525"/>
        <item x="541"/>
        <item x="456"/>
        <item x="450"/>
        <item x="687"/>
        <item x="467"/>
        <item x="599"/>
        <item x="604"/>
        <item x="688"/>
        <item x="602"/>
        <item x="605"/>
        <item x="616"/>
        <item x="619"/>
        <item x="472"/>
        <item x="207"/>
        <item x="470"/>
        <item x="613"/>
        <item x="485"/>
        <item x="469"/>
        <item x="200"/>
        <item x="453"/>
        <item x="452"/>
        <item x="482"/>
        <item x="585"/>
        <item x="451"/>
        <item x="481"/>
        <item x="477"/>
        <item x="591"/>
        <item x="689"/>
        <item x="478"/>
        <item x="473"/>
        <item x="461"/>
        <item x="203"/>
        <item x="184"/>
        <item x="199"/>
        <item x="464"/>
        <item x="202"/>
        <item x="590"/>
        <item x="206"/>
        <item x="210"/>
        <item x="476"/>
        <item x="180"/>
        <item x="222"/>
        <item x="182"/>
        <item x="465"/>
        <item x="228"/>
        <item x="463"/>
        <item x="462"/>
        <item x="186"/>
        <item x="173"/>
        <item x="175"/>
        <item x="562"/>
        <item x="491"/>
        <item x="520"/>
        <item x="232"/>
        <item x="178"/>
        <item x="500"/>
        <item x="224"/>
        <item x="177"/>
        <item x="234"/>
        <item x="223"/>
        <item x="515"/>
        <item x="513"/>
        <item x="556"/>
        <item x="213"/>
        <item x="214"/>
        <item x="233"/>
        <item x="526"/>
        <item x="166"/>
        <item x="530"/>
        <item x="236"/>
        <item x="543"/>
        <item x="118"/>
        <item x="531"/>
        <item x="551"/>
        <item x="235"/>
        <item x="116"/>
        <item x="238"/>
        <item x="280"/>
        <item x="126"/>
        <item x="459"/>
        <item x="244"/>
        <item x="278"/>
        <item x="458"/>
        <item x="279"/>
        <item x="540"/>
        <item x="539"/>
        <item x="242"/>
        <item x="198"/>
        <item x="443"/>
        <item x="281"/>
        <item x="241"/>
        <item x="439"/>
        <item x="179"/>
        <item x="445"/>
        <item x="440"/>
        <item x="457"/>
        <item x="455"/>
        <item x="454"/>
        <item x="251"/>
        <item x="425"/>
        <item x="243"/>
        <item x="424"/>
        <item x="474"/>
        <item x="475"/>
        <item x="240"/>
        <item x="165"/>
        <item x="409"/>
        <item x="416"/>
        <item x="420"/>
        <item x="415"/>
        <item x="428"/>
        <item x="408"/>
        <item x="421"/>
        <item x="427"/>
        <item x="426"/>
        <item x="413"/>
        <item x="412"/>
        <item x="183"/>
        <item x="121"/>
        <item x="125"/>
        <item x="123"/>
        <item x="139"/>
        <item x="129"/>
        <item x="128"/>
        <item x="136"/>
        <item x="135"/>
        <item x="134"/>
        <item x="131"/>
        <item x="127"/>
        <item x="181"/>
        <item x="156"/>
        <item x="153"/>
        <item x="157"/>
        <item x="158"/>
        <item x="154"/>
        <item x="160"/>
        <item x="161"/>
        <item x="150"/>
        <item x="162"/>
        <item x="152"/>
        <item x="163"/>
        <item x="148"/>
        <item x="151"/>
        <item x="578"/>
        <item x="299"/>
        <item x="301"/>
        <item x="398"/>
        <item x="393"/>
        <item x="302"/>
        <item x="300"/>
        <item x="303"/>
        <item x="320"/>
        <item x="307"/>
        <item x="395"/>
        <item x="329"/>
        <item x="403"/>
        <item x="316"/>
        <item x="326"/>
        <item x="321"/>
        <item x="325"/>
        <item x="317"/>
        <item x="339"/>
        <item x="375"/>
        <item x="291"/>
        <item x="377"/>
        <item x="374"/>
        <item x="372"/>
        <item x="290"/>
        <item x="396"/>
        <item x="397"/>
        <item x="292"/>
        <item x="406"/>
        <item x="79"/>
        <item x="402"/>
        <item x="92"/>
        <item x="293"/>
        <item x="284"/>
        <item x="410"/>
        <item x="331"/>
        <item x="208"/>
        <item x="328"/>
        <item x="337"/>
        <item x="19"/>
        <item x="209"/>
        <item x="346"/>
        <item x="342"/>
        <item x="277"/>
        <item x="20"/>
        <item x="483"/>
        <item x="239"/>
        <item x="205"/>
        <item x="542"/>
        <item x="484"/>
        <item x="252"/>
        <item x="256"/>
        <item x="254"/>
        <item x="253"/>
        <item x="204"/>
        <item x="356"/>
        <item x="364"/>
        <item x="258"/>
        <item x="249"/>
        <item x="248"/>
        <item x="245"/>
        <item x="263"/>
        <item x="260"/>
        <item x="237"/>
        <item x="702"/>
        <item x="250"/>
        <item x="523"/>
        <item x="246"/>
        <item x="265"/>
        <item x="201"/>
        <item x="266"/>
        <item x="622"/>
        <item x="379"/>
        <item x="211"/>
        <item x="488"/>
        <item x="212"/>
        <item x="21"/>
        <item x="617"/>
        <item x="22"/>
        <item x="373"/>
        <item x="699"/>
        <item x="583"/>
        <item x="33"/>
        <item x="23"/>
        <item x="39"/>
        <item x="32"/>
        <item x="40"/>
        <item x="31"/>
        <item x="34"/>
        <item x="705"/>
        <item x="700"/>
        <item x="42"/>
        <item x="35"/>
        <item x="83"/>
        <item x="137"/>
        <item x="120"/>
        <item x="122"/>
        <item x="704"/>
        <item x="497"/>
        <item x="678"/>
        <item x="660"/>
        <item x="648"/>
        <item x="656"/>
        <item x="104"/>
        <item x="103"/>
        <item x="665"/>
        <item x="649"/>
        <item x="502"/>
        <item x="696"/>
        <item x="91"/>
        <item x="41"/>
        <item x="701"/>
        <item x="16"/>
        <item x="82"/>
        <item x="706"/>
        <item x="692"/>
        <item x="319"/>
        <item x="189"/>
        <item x="407"/>
        <item x="690"/>
        <item x="193"/>
        <item x="45"/>
        <item x="332"/>
        <item x="18"/>
        <item x="405"/>
        <item x="411"/>
        <item x="330"/>
        <item x="399"/>
        <item x="434"/>
        <item x="324"/>
        <item x="28"/>
        <item x="642"/>
        <item x="365"/>
        <item x="401"/>
        <item x="286"/>
        <item x="323"/>
        <item x="146"/>
        <item x="400"/>
        <item x="341"/>
        <item x="74"/>
        <item x="311"/>
        <item x="312"/>
        <item x="310"/>
        <item x="313"/>
        <item x="652"/>
        <item x="282"/>
        <item x="314"/>
        <item x="145"/>
        <item x="394"/>
        <item x="43"/>
        <item x="388"/>
        <item x="287"/>
        <item x="429"/>
        <item x="677"/>
        <item x="30"/>
        <item x="386"/>
        <item x="81"/>
        <item x="80"/>
        <item x="369"/>
        <item x="289"/>
        <item x="306"/>
        <item x="308"/>
        <item x="384"/>
        <item x="466"/>
        <item x="322"/>
        <item x="288"/>
        <item x="14"/>
        <item x="49"/>
        <item x="611"/>
        <item x="309"/>
        <item x="305"/>
        <item x="383"/>
        <item x="230"/>
        <item x="50"/>
        <item x="304"/>
        <item x="607"/>
        <item x="55"/>
        <item x="78"/>
        <item x="15"/>
        <item x="460"/>
        <item x="381"/>
        <item x="58"/>
        <item x="56"/>
        <item x="231"/>
        <item x="13"/>
        <item x="17"/>
        <item x="51"/>
        <item x="570"/>
        <item x="75"/>
        <item x="57"/>
        <item x="73"/>
        <item x="54"/>
        <item x="60"/>
        <item x="376"/>
        <item x="64"/>
        <item x="53"/>
        <item x="52"/>
        <item x="66"/>
        <item x="59"/>
        <item x="255"/>
        <item x="529"/>
        <item x="229"/>
        <item x="61"/>
        <item x="548"/>
        <item x="378"/>
        <item x="62"/>
        <item x="344"/>
        <item x="247"/>
        <item x="63"/>
        <item x="350"/>
        <item x="327"/>
        <item x="334"/>
        <item x="479"/>
        <item x="347"/>
        <item x="480"/>
        <item x="221"/>
        <item x="442"/>
        <item x="218"/>
        <item x="220"/>
        <item x="219"/>
        <item x="449"/>
        <item x="565"/>
        <item x="227"/>
        <item x="215"/>
        <item x="8"/>
        <item x="12"/>
        <item x="275"/>
        <item x="217"/>
        <item x="441"/>
        <item x="225"/>
        <item x="216"/>
        <item x="338"/>
        <item x="340"/>
        <item x="361"/>
        <item x="355"/>
        <item x="352"/>
        <item x="226"/>
        <item x="354"/>
        <item x="359"/>
        <item x="348"/>
        <item x="538"/>
        <item x="9"/>
        <item x="27"/>
        <item x="362"/>
        <item x="26"/>
        <item x="432"/>
        <item x="29"/>
        <item x="392"/>
        <item x="703"/>
        <item x="390"/>
        <item x="537"/>
        <item x="38"/>
        <item x="37"/>
        <item x="187"/>
        <item x="36"/>
        <item x="4"/>
        <item x="109"/>
        <item x="418"/>
        <item x="144"/>
        <item x="147"/>
        <item x="149"/>
        <item x="3"/>
        <item x="447"/>
        <item x="196"/>
        <item x="446"/>
        <item x="113"/>
        <item x="197"/>
        <item x="10"/>
        <item x="11"/>
        <item x="5"/>
        <item x="7"/>
        <item x="84"/>
        <item x="101"/>
        <item x="88"/>
        <item x="387"/>
        <item x="6"/>
        <item x="90"/>
        <item x="96"/>
        <item x="108"/>
        <item x="371"/>
        <item x="389"/>
        <item x="391"/>
        <item x="419"/>
        <item x="112"/>
        <item x="422"/>
        <item x="370"/>
        <item x="115"/>
        <item x="114"/>
        <item x="132"/>
        <item x="259"/>
        <item x="133"/>
        <item x="261"/>
        <item x="124"/>
        <item x="640"/>
        <item x="262"/>
        <item x="257"/>
        <item x="130"/>
        <item x="638"/>
        <item x="368"/>
        <item x="647"/>
        <item x="436"/>
        <item x="586"/>
        <item x="637"/>
        <item x="635"/>
        <item x="631"/>
        <item x="264"/>
        <item x="654"/>
        <item x="48"/>
        <item x="437"/>
        <item x="653"/>
        <item x="651"/>
        <item x="367"/>
        <item x="268"/>
        <item x="349"/>
        <item x="366"/>
        <item x="155"/>
        <item x="351"/>
        <item x="353"/>
        <item x="363"/>
        <item x="357"/>
        <item x="382"/>
        <item x="358"/>
        <item x="360"/>
        <item x="507"/>
        <item x="47"/>
        <item x="110"/>
        <item x="663"/>
        <item x="25"/>
        <item x="159"/>
        <item x="499"/>
        <item x="664"/>
        <item x="444"/>
        <item x="76"/>
        <item x="24"/>
        <item x="438"/>
        <item x="77"/>
        <item x="67"/>
        <item x="672"/>
        <item x="684"/>
        <item x="670"/>
        <item x="68"/>
        <item x="111"/>
        <item x="595"/>
        <item x="681"/>
        <item x="596"/>
        <item x="65"/>
        <item x="627"/>
        <item x="69"/>
        <item x="597"/>
        <item x="686"/>
        <item x="70"/>
        <item x="44"/>
        <item x="693"/>
        <item x="685"/>
        <item x="72"/>
        <item x="71"/>
        <item x="46"/>
        <item x="598"/>
        <item x="176"/>
        <item x="601"/>
        <item x="603"/>
        <item x="615"/>
        <item x="623"/>
        <item x="606"/>
        <item x="697"/>
        <item x="285"/>
        <item x="618"/>
        <item x="283"/>
        <item x="614"/>
        <item x="608"/>
        <item x="612"/>
        <item x="1"/>
        <item x="172"/>
        <item x="609"/>
        <item x="592"/>
        <item x="588"/>
        <item x="593"/>
        <item x="584"/>
        <item x="587"/>
        <item x="2"/>
        <item x="191"/>
        <item x="97"/>
        <item x="194"/>
        <item x="95"/>
        <item x="94"/>
        <item x="192"/>
        <item x="569"/>
        <item x="582"/>
        <item x="102"/>
        <item x="99"/>
        <item x="100"/>
        <item x="98"/>
        <item x="567"/>
        <item x="559"/>
        <item x="566"/>
        <item x="568"/>
        <item x="195"/>
        <item x="417"/>
        <item x="549"/>
        <item x="558"/>
        <item x="423"/>
        <item x="553"/>
        <item x="555"/>
        <item x="267"/>
        <item x="270"/>
        <item x="269"/>
        <item x="271"/>
        <item x="274"/>
        <item x="272"/>
        <item x="273"/>
        <item x="448"/>
        <item x="624"/>
        <item x="589"/>
        <item x="620"/>
        <item x="487"/>
        <item x="489"/>
        <item x="493"/>
        <item x="295"/>
        <item x="494"/>
        <item x="503"/>
        <item x="498"/>
        <item x="296"/>
        <item x="276"/>
        <item x="345"/>
        <item x="294"/>
        <item x="336"/>
        <item x="644"/>
        <item x="621"/>
        <item x="167"/>
        <item x="168"/>
        <item x="185"/>
        <item x="169"/>
        <item x="433"/>
        <item x="691"/>
        <item x="430"/>
        <item x="164"/>
        <item x="141"/>
        <item x="435"/>
        <item x="140"/>
        <item x="190"/>
        <item x="335"/>
        <item x="105"/>
        <item x="142"/>
        <item x="188"/>
        <item x="404"/>
        <item x="333"/>
        <item x="414"/>
        <item x="171"/>
        <item x="138"/>
        <item x="343"/>
        <item x="380"/>
        <item x="315"/>
        <item x="119"/>
        <item x="385"/>
        <item x="431"/>
        <item x="536"/>
        <item x="174"/>
        <item x="170"/>
        <item x="107"/>
        <item x="143"/>
        <item x="572"/>
        <item x="86"/>
        <item x="85"/>
        <item x="93"/>
        <item x="106"/>
        <item x="89"/>
        <item x="87"/>
        <item x="117"/>
        <item x="594"/>
        <item x="544"/>
        <item x="711"/>
        <item x="710"/>
        <item x="712"/>
        <item x="713"/>
        <item x="714"/>
        <item x="715"/>
        <item x="716"/>
        <item x="717"/>
        <item x="719"/>
        <item x="718"/>
        <item x="707"/>
        <item x="708"/>
        <item x="709"/>
        <item x="720"/>
        <item x="721"/>
        <item x="722"/>
        <item x="723"/>
        <item x="724"/>
        <item x="725"/>
        <item x="726"/>
        <item x="727"/>
        <item x="728"/>
        <item x="782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t="default"/>
      </items>
    </pivotField>
    <pivotField compact="0" showAll="0">
      <items count="273">
        <item x="0"/>
        <item x="51"/>
        <item x="204"/>
        <item x="6"/>
        <item x="7"/>
        <item x="153"/>
        <item x="185"/>
        <item x="27"/>
        <item x="14"/>
        <item x="12"/>
        <item x="163"/>
        <item x="15"/>
        <item x="161"/>
        <item x="20"/>
        <item x="10"/>
        <item x="11"/>
        <item x="109"/>
        <item x="21"/>
        <item x="16"/>
        <item x="1"/>
        <item x="39"/>
        <item x="2"/>
        <item x="146"/>
        <item x="166"/>
        <item x="3"/>
        <item x="4"/>
        <item x="5"/>
        <item x="38"/>
        <item x="202"/>
        <item x="8"/>
        <item x="106"/>
        <item x="23"/>
        <item x="108"/>
        <item x="144"/>
        <item x="13"/>
        <item x="18"/>
        <item x="50"/>
        <item x="53"/>
        <item x="87"/>
        <item x="9"/>
        <item x="36"/>
        <item x="55"/>
        <item x="17"/>
        <item x="24"/>
        <item x="179"/>
        <item x="25"/>
        <item x="186"/>
        <item x="54"/>
        <item x="33"/>
        <item x="22"/>
        <item x="26"/>
        <item x="75"/>
        <item x="98"/>
        <item x="195"/>
        <item x="57"/>
        <item x="19"/>
        <item x="207"/>
        <item x="34"/>
        <item x="76"/>
        <item x="80"/>
        <item x="205"/>
        <item x="65"/>
        <item x="197"/>
        <item x="35"/>
        <item x="72"/>
        <item x="149"/>
        <item x="73"/>
        <item x="29"/>
        <item x="194"/>
        <item x="211"/>
        <item x="155"/>
        <item x="62"/>
        <item x="63"/>
        <item x="78"/>
        <item x="92"/>
        <item x="30"/>
        <item x="206"/>
        <item x="196"/>
        <item x="126"/>
        <item x="66"/>
        <item x="134"/>
        <item x="122"/>
        <item x="210"/>
        <item x="180"/>
        <item x="200"/>
        <item x="79"/>
        <item x="59"/>
        <item x="113"/>
        <item x="188"/>
        <item x="189"/>
        <item x="32"/>
        <item x="132"/>
        <item x="84"/>
        <item x="177"/>
        <item x="89"/>
        <item x="136"/>
        <item x="77"/>
        <item x="94"/>
        <item x="192"/>
        <item x="28"/>
        <item x="44"/>
        <item x="190"/>
        <item x="129"/>
        <item x="74"/>
        <item x="131"/>
        <item x="100"/>
        <item x="31"/>
        <item x="174"/>
        <item x="160"/>
        <item x="203"/>
        <item x="102"/>
        <item x="173"/>
        <item x="133"/>
        <item x="125"/>
        <item x="138"/>
        <item x="115"/>
        <item x="172"/>
        <item x="184"/>
        <item x="199"/>
        <item x="128"/>
        <item x="151"/>
        <item x="135"/>
        <item x="90"/>
        <item x="85"/>
        <item x="157"/>
        <item x="81"/>
        <item x="143"/>
        <item x="140"/>
        <item x="198"/>
        <item x="41"/>
        <item x="91"/>
        <item x="162"/>
        <item x="169"/>
        <item x="168"/>
        <item x="130"/>
        <item x="127"/>
        <item x="178"/>
        <item x="123"/>
        <item x="182"/>
        <item x="154"/>
        <item x="99"/>
        <item x="118"/>
        <item x="164"/>
        <item x="95"/>
        <item x="88"/>
        <item x="193"/>
        <item x="103"/>
        <item x="141"/>
        <item x="150"/>
        <item x="158"/>
        <item x="152"/>
        <item x="142"/>
        <item x="148"/>
        <item x="114"/>
        <item x="116"/>
        <item x="67"/>
        <item x="181"/>
        <item x="121"/>
        <item x="119"/>
        <item x="124"/>
        <item x="159"/>
        <item x="120"/>
        <item x="47"/>
        <item x="37"/>
        <item x="40"/>
        <item x="170"/>
        <item x="104"/>
        <item x="110"/>
        <item x="112"/>
        <item x="175"/>
        <item x="96"/>
        <item x="48"/>
        <item x="183"/>
        <item x="208"/>
        <item x="101"/>
        <item x="201"/>
        <item x="137"/>
        <item x="93"/>
        <item x="64"/>
        <item x="191"/>
        <item x="83"/>
        <item x="156"/>
        <item x="139"/>
        <item x="167"/>
        <item x="61"/>
        <item x="176"/>
        <item x="82"/>
        <item x="86"/>
        <item x="171"/>
        <item x="58"/>
        <item x="49"/>
        <item x="145"/>
        <item x="147"/>
        <item x="69"/>
        <item x="46"/>
        <item x="45"/>
        <item x="43"/>
        <item x="56"/>
        <item x="117"/>
        <item x="42"/>
        <item x="97"/>
        <item x="60"/>
        <item x="105"/>
        <item x="52"/>
        <item x="165"/>
        <item x="107"/>
        <item x="187"/>
        <item x="111"/>
        <item x="70"/>
        <item x="68"/>
        <item x="71"/>
        <item x="209"/>
        <item x="213"/>
        <item x="214"/>
        <item x="215"/>
        <item x="217"/>
        <item x="216"/>
        <item x="218"/>
        <item x="219"/>
        <item x="221"/>
        <item x="212"/>
        <item x="220"/>
        <item x="222"/>
        <item x="223"/>
        <item x="224"/>
        <item x="225"/>
        <item x="226"/>
        <item x="227"/>
        <item x="228"/>
        <item x="271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t="default"/>
      </items>
    </pivotField>
    <pivotField compact="0" showAll="0">
      <items count="957">
        <item x="0"/>
        <item x="801"/>
        <item x="811"/>
        <item x="804"/>
        <item x="802"/>
        <item x="823"/>
        <item x="132"/>
        <item x="800"/>
        <item x="799"/>
        <item x="810"/>
        <item x="165"/>
        <item x="358"/>
        <item x="807"/>
        <item x="17"/>
        <item x="814"/>
        <item x="98"/>
        <item x="442"/>
        <item x="205"/>
        <item x="509"/>
        <item x="96"/>
        <item x="808"/>
        <item x="630"/>
        <item x="332"/>
        <item x="558"/>
        <item x="677"/>
        <item x="792"/>
        <item x="230"/>
        <item x="794"/>
        <item x="535"/>
        <item x="99"/>
        <item x="553"/>
        <item x="776"/>
        <item x="189"/>
        <item x="438"/>
        <item x="562"/>
        <item x="121"/>
        <item x="93"/>
        <item x="170"/>
        <item x="40"/>
        <item x="20"/>
        <item x="21"/>
        <item x="22"/>
        <item x="30"/>
        <item x="668"/>
        <item x="690"/>
        <item x="642"/>
        <item x="113"/>
        <item x="228"/>
        <item x="61"/>
        <item x="324"/>
        <item x="276"/>
        <item x="803"/>
        <item x="23"/>
        <item x="29"/>
        <item x="28"/>
        <item x="102"/>
        <item x="674"/>
        <item x="60"/>
        <item x="139"/>
        <item x="386"/>
        <item x="791"/>
        <item x="39"/>
        <item x="123"/>
        <item x="135"/>
        <item x="4"/>
        <item x="136"/>
        <item x="71"/>
        <item x="3"/>
        <item x="218"/>
        <item x="223"/>
        <item x="19"/>
        <item x="168"/>
        <item x="167"/>
        <item x="166"/>
        <item x="89"/>
        <item x="88"/>
        <item x="57"/>
        <item x="64"/>
        <item x="65"/>
        <item x="59"/>
        <item x="425"/>
        <item x="62"/>
        <item x="147"/>
        <item x="428"/>
        <item x="50"/>
        <item x="154"/>
        <item x="390"/>
        <item x="153"/>
        <item x="152"/>
        <item x="149"/>
        <item x="146"/>
        <item x="44"/>
        <item x="54"/>
        <item x="82"/>
        <item x="56"/>
        <item x="8"/>
        <item x="14"/>
        <item x="55"/>
        <item x="678"/>
        <item x="16"/>
        <item x="15"/>
        <item x="563"/>
        <item x="67"/>
        <item x="13"/>
        <item x="227"/>
        <item x="331"/>
        <item x="10"/>
        <item x="66"/>
        <item x="9"/>
        <item x="179"/>
        <item x="63"/>
        <item x="69"/>
        <item x="176"/>
        <item x="180"/>
        <item x="72"/>
        <item x="181"/>
        <item x="73"/>
        <item x="74"/>
        <item x="177"/>
        <item x="68"/>
        <item x="47"/>
        <item x="183"/>
        <item x="184"/>
        <item x="32"/>
        <item x="11"/>
        <item x="5"/>
        <item x="805"/>
        <item x="185"/>
        <item x="7"/>
        <item x="175"/>
        <item x="186"/>
        <item x="1"/>
        <item x="328"/>
        <item x="6"/>
        <item x="37"/>
        <item x="46"/>
        <item x="48"/>
        <item x="52"/>
        <item x="557"/>
        <item x="103"/>
        <item x="555"/>
        <item x="806"/>
        <item x="739"/>
        <item x="12"/>
        <item x="87"/>
        <item x="172"/>
        <item x="793"/>
        <item x="95"/>
        <item x="790"/>
        <item x="2"/>
        <item x="126"/>
        <item x="106"/>
        <item x="164"/>
        <item x="18"/>
        <item x="171"/>
        <item x="31"/>
        <item x="109"/>
        <item x="130"/>
        <item x="743"/>
        <item x="110"/>
        <item x="27"/>
        <item x="355"/>
        <item x="601"/>
        <item x="587"/>
        <item x="589"/>
        <item x="602"/>
        <item x="584"/>
        <item x="600"/>
        <item x="333"/>
        <item x="592"/>
        <item x="336"/>
        <item x="597"/>
        <item x="91"/>
        <item x="277"/>
        <item x="86"/>
        <item x="593"/>
        <item x="392"/>
        <item x="45"/>
        <item x="49"/>
        <item x="379"/>
        <item x="798"/>
        <item x="92"/>
        <item x="105"/>
        <item x="795"/>
        <item x="338"/>
        <item x="173"/>
        <item x="757"/>
        <item x="335"/>
        <item x="339"/>
        <item x="101"/>
        <item x="343"/>
        <item x="370"/>
        <item x="125"/>
        <item x="353"/>
        <item x="364"/>
        <item x="51"/>
        <item x="354"/>
        <item x="446"/>
        <item x="129"/>
        <item x="384"/>
        <item x="133"/>
        <item x="797"/>
        <item x="131"/>
        <item x="796"/>
        <item x="423"/>
        <item x="143"/>
        <item x="426"/>
        <item x="26"/>
        <item x="421"/>
        <item x="419"/>
        <item x="323"/>
        <item x="347"/>
        <item x="348"/>
        <item x="346"/>
        <item x="349"/>
        <item x="458"/>
        <item x="90"/>
        <item x="318"/>
        <item x="537"/>
        <item x="240"/>
        <item x="435"/>
        <item x="320"/>
        <item x="361"/>
        <item x="319"/>
        <item x="241"/>
        <item x="345"/>
        <item x="780"/>
        <item x="58"/>
        <item x="307"/>
        <item x="84"/>
        <item x="239"/>
        <item x="583"/>
        <item x="85"/>
        <item x="75"/>
        <item x="83"/>
        <item x="760"/>
        <item x="140"/>
        <item x="81"/>
        <item x="539"/>
        <item x="270"/>
        <item x="236"/>
        <item x="76"/>
        <item x="142"/>
        <item x="359"/>
        <item x="538"/>
        <item x="77"/>
        <item x="280"/>
        <item x="281"/>
        <item x="775"/>
        <item x="78"/>
        <item x="282"/>
        <item x="235"/>
        <item x="781"/>
        <item x="80"/>
        <item x="70"/>
        <item x="79"/>
        <item x="360"/>
        <item x="273"/>
        <item x="268"/>
        <item x="201"/>
        <item x="275"/>
        <item x="278"/>
        <item x="274"/>
        <item x="294"/>
        <item x="242"/>
        <item x="295"/>
        <item x="701"/>
        <item x="778"/>
        <item x="322"/>
        <item x="789"/>
        <item x="97"/>
        <item x="316"/>
        <item x="314"/>
        <item x="141"/>
        <item x="197"/>
        <item x="100"/>
        <item x="604"/>
        <item x="203"/>
        <item x="605"/>
        <item x="588"/>
        <item x="596"/>
        <item x="466"/>
        <item x="134"/>
        <item x="221"/>
        <item x="470"/>
        <item x="732"/>
        <item x="127"/>
        <item x="382"/>
        <item x="25"/>
        <item x="385"/>
        <item x="449"/>
        <item x="334"/>
        <item x="610"/>
        <item x="24"/>
        <item x="224"/>
        <item x="451"/>
        <item x="453"/>
        <item x="34"/>
        <item x="222"/>
        <item x="35"/>
        <item x="454"/>
        <item x="726"/>
        <item x="145"/>
        <item x="33"/>
        <item x="747"/>
        <item x="728"/>
        <item x="128"/>
        <item x="731"/>
        <item x="736"/>
        <item x="725"/>
        <item x="503"/>
        <item x="459"/>
        <item x="225"/>
        <item x="785"/>
        <item x="735"/>
        <item x="479"/>
        <item x="488"/>
        <item x="568"/>
        <item x="786"/>
        <item x="782"/>
        <item x="695"/>
        <item x="187"/>
        <item x="160"/>
        <item x="512"/>
        <item x="159"/>
        <item x="511"/>
        <item x="329"/>
        <item x="156"/>
        <item x="432"/>
        <item x="36"/>
        <item x="330"/>
        <item x="514"/>
        <item x="158"/>
        <item x="188"/>
        <item x="724"/>
        <item x="516"/>
        <item x="517"/>
        <item x="53"/>
        <item x="41"/>
        <item x="42"/>
        <item x="43"/>
        <item x="723"/>
        <item x="727"/>
        <item x="94"/>
        <item x="213"/>
        <item x="526"/>
        <item x="777"/>
        <item x="566"/>
        <item x="38"/>
        <item x="174"/>
        <item x="667"/>
        <item x="787"/>
        <item x="753"/>
        <item x="765"/>
        <item x="372"/>
        <item x="754"/>
        <item x="744"/>
        <item x="368"/>
        <item x="381"/>
        <item x="342"/>
        <item x="344"/>
        <item x="518"/>
        <item x="155"/>
        <item x="761"/>
        <item x="226"/>
        <item x="400"/>
        <item x="769"/>
        <item x="341"/>
        <item x="759"/>
        <item x="388"/>
        <item x="340"/>
        <item x="718"/>
        <item x="722"/>
        <item x="762"/>
        <item x="529"/>
        <item x="755"/>
        <item x="519"/>
        <item x="424"/>
        <item x="745"/>
        <item x="756"/>
        <item x="763"/>
        <item x="685"/>
        <item x="714"/>
        <item x="594"/>
        <item x="618"/>
        <item x="337"/>
        <item x="541"/>
        <item x="540"/>
        <item x="766"/>
        <item x="356"/>
        <item x="771"/>
        <item x="748"/>
        <item x="773"/>
        <item x="157"/>
        <item x="746"/>
        <item x="491"/>
        <item x="403"/>
        <item x="679"/>
        <item x="427"/>
        <item x="586"/>
        <item x="669"/>
        <item x="120"/>
        <item x="751"/>
        <item x="571"/>
        <item x="606"/>
        <item x="198"/>
        <item x="572"/>
        <item x="738"/>
        <item x="472"/>
        <item x="673"/>
        <item x="621"/>
        <item x="672"/>
        <item x="590"/>
        <item x="598"/>
        <item x="671"/>
        <item x="204"/>
        <item x="764"/>
        <item x="326"/>
        <item x="490"/>
        <item x="498"/>
        <item x="670"/>
        <item x="675"/>
        <item x="107"/>
        <item x="607"/>
        <item x="730"/>
        <item x="591"/>
        <item x="644"/>
        <item x="645"/>
        <item x="585"/>
        <item x="441"/>
        <item x="599"/>
        <item x="104"/>
        <item x="615"/>
        <item x="640"/>
        <item x="481"/>
        <item x="609"/>
        <item x="478"/>
        <item x="770"/>
        <item x="444"/>
        <item x="327"/>
        <item x="608"/>
        <item x="614"/>
        <item x="485"/>
        <item x="422"/>
        <item x="659"/>
        <item x="476"/>
        <item x="613"/>
        <item x="633"/>
        <item x="420"/>
        <item x="417"/>
        <item x="655"/>
        <item x="357"/>
        <item x="288"/>
        <item x="658"/>
        <item x="290"/>
        <item x="654"/>
        <item x="286"/>
        <item x="463"/>
        <item x="496"/>
        <item x="486"/>
        <item x="148"/>
        <item x="704"/>
        <item x="306"/>
        <item x="493"/>
        <item x="371"/>
        <item x="465"/>
        <item x="415"/>
        <item x="620"/>
        <item x="643"/>
        <item x="363"/>
        <item x="369"/>
        <item x="737"/>
        <item x="492"/>
        <item x="412"/>
        <item x="652"/>
        <item x="317"/>
        <item x="362"/>
        <item x="629"/>
        <item x="729"/>
        <item x="624"/>
        <item x="650"/>
        <item x="448"/>
        <item x="631"/>
        <item x="648"/>
        <item x="115"/>
        <item x="625"/>
        <item x="622"/>
        <item x="741"/>
        <item x="639"/>
        <item x="740"/>
        <item x="452"/>
        <item x="414"/>
        <item x="705"/>
        <item x="450"/>
        <item x="443"/>
        <item x="297"/>
        <item x="788"/>
        <item x="413"/>
        <item x="178"/>
        <item x="542"/>
        <item x="373"/>
        <item x="410"/>
        <item x="447"/>
        <item x="405"/>
        <item x="445"/>
        <item x="407"/>
        <item x="565"/>
        <item x="694"/>
        <item x="365"/>
        <item x="698"/>
        <item x="436"/>
        <item x="377"/>
        <item x="114"/>
        <item x="699"/>
        <item x="710"/>
        <item x="713"/>
        <item x="433"/>
        <item x="750"/>
        <item x="569"/>
        <item x="752"/>
        <item x="434"/>
        <item x="325"/>
        <item x="567"/>
        <item x="772"/>
        <item x="758"/>
        <item x="144"/>
        <item x="380"/>
        <item x="579"/>
        <item x="691"/>
        <item x="285"/>
        <item x="284"/>
        <item x="578"/>
        <item x="283"/>
        <item x="574"/>
        <item x="774"/>
        <item x="575"/>
        <item x="287"/>
        <item x="570"/>
        <item x="554"/>
        <item x="292"/>
        <item x="693"/>
        <item x="289"/>
        <item x="559"/>
        <item x="696"/>
        <item x="697"/>
        <item x="396"/>
        <item x="573"/>
        <item x="709"/>
        <item x="700"/>
        <item x="467"/>
        <item x="712"/>
        <item x="702"/>
        <item x="393"/>
        <item x="483"/>
        <item x="706"/>
        <item x="464"/>
        <item x="560"/>
        <item x="471"/>
        <item x="703"/>
        <item x="556"/>
        <item x="660"/>
        <item x="510"/>
        <item x="656"/>
        <item x="249"/>
        <item x="252"/>
        <item x="657"/>
        <item x="259"/>
        <item x="688"/>
        <item x="494"/>
        <item x="520"/>
        <item x="246"/>
        <item x="689"/>
        <item x="617"/>
        <item x="680"/>
        <item x="525"/>
        <item x="350"/>
        <item x="504"/>
        <item x="248"/>
        <item x="612"/>
        <item x="497"/>
        <item x="247"/>
        <item x="611"/>
        <item x="651"/>
        <item x="521"/>
        <item x="408"/>
        <item x="402"/>
        <item x="398"/>
        <item x="627"/>
        <item x="641"/>
        <item x="258"/>
        <item x="623"/>
        <item x="401"/>
        <item x="406"/>
        <item x="394"/>
        <item x="665"/>
        <item x="676"/>
        <item x="351"/>
        <item x="119"/>
        <item x="116"/>
        <item x="117"/>
        <item x="664"/>
        <item x="308"/>
        <item x="409"/>
        <item x="619"/>
        <item x="309"/>
        <item x="580"/>
        <item x="663"/>
        <item x="638"/>
        <item x="632"/>
        <item x="524"/>
        <item x="387"/>
        <item x="637"/>
        <item x="581"/>
        <item x="169"/>
        <item x="647"/>
        <item x="653"/>
        <item x="150"/>
        <item x="582"/>
        <item x="151"/>
        <item x="649"/>
        <item x="626"/>
        <item x="646"/>
        <item x="548"/>
        <item x="191"/>
        <item x="192"/>
        <item x="551"/>
        <item x="210"/>
        <item x="219"/>
        <item x="122"/>
        <item x="162"/>
        <item x="216"/>
        <item x="460"/>
        <item x="196"/>
        <item x="352"/>
        <item x="214"/>
        <item x="161"/>
        <item x="217"/>
        <item x="220"/>
        <item x="124"/>
        <item x="461"/>
        <item x="163"/>
        <item x="211"/>
        <item x="215"/>
        <item x="232"/>
        <item x="550"/>
        <item x="549"/>
        <item x="547"/>
        <item x="182"/>
        <item x="545"/>
        <item x="552"/>
        <item x="190"/>
        <item x="118"/>
        <item x="546"/>
        <item x="662"/>
        <item x="207"/>
        <item x="303"/>
        <item x="661"/>
        <item x="440"/>
        <item x="301"/>
        <item x="302"/>
        <item x="534"/>
        <item x="561"/>
        <item x="533"/>
        <item x="603"/>
        <item x="532"/>
        <item x="564"/>
        <item x="595"/>
        <item x="767"/>
        <item x="543"/>
        <item x="666"/>
        <item x="720"/>
        <item x="111"/>
        <item x="719"/>
        <item x="768"/>
        <item x="576"/>
        <item x="254"/>
        <item x="577"/>
        <item x="260"/>
        <item x="523"/>
        <item x="506"/>
        <item x="536"/>
        <item x="495"/>
        <item x="487"/>
        <item x="480"/>
        <item x="256"/>
        <item x="265"/>
        <item x="255"/>
        <item x="522"/>
        <item x="291"/>
        <item x="455"/>
        <item x="267"/>
        <item x="457"/>
        <item x="266"/>
        <item x="456"/>
        <item x="293"/>
        <item x="269"/>
        <item x="742"/>
        <item x="272"/>
        <item x="395"/>
        <item x="397"/>
        <item x="399"/>
        <item x="404"/>
        <item x="416"/>
        <item x="245"/>
        <item x="112"/>
        <item x="243"/>
        <item x="749"/>
        <item x="193"/>
        <item x="707"/>
        <item x="499"/>
        <item x="513"/>
        <item x="515"/>
        <item x="231"/>
        <item x="681"/>
        <item x="721"/>
        <item x="692"/>
        <item x="815"/>
        <item x="687"/>
        <item x="684"/>
        <item x="234"/>
        <item x="816"/>
        <item x="209"/>
        <item x="233"/>
        <item x="686"/>
        <item x="238"/>
        <item x="717"/>
        <item x="374"/>
        <item x="237"/>
        <item x="212"/>
        <item x="250"/>
        <item x="475"/>
        <item x="208"/>
        <item x="616"/>
        <item x="251"/>
        <item x="108"/>
        <item x="313"/>
        <item x="257"/>
        <item x="411"/>
        <item x="628"/>
        <item x="734"/>
        <item x="253"/>
        <item x="271"/>
        <item x="418"/>
        <item x="469"/>
        <item x="429"/>
        <item x="378"/>
        <item x="375"/>
        <item x="389"/>
        <item x="431"/>
        <item x="137"/>
        <item x="733"/>
        <item x="376"/>
        <item x="383"/>
        <item x="391"/>
        <item x="194"/>
        <item x="138"/>
        <item x="195"/>
        <item x="311"/>
        <item x="715"/>
        <item x="430"/>
        <item x="229"/>
        <item x="305"/>
        <item x="304"/>
        <item x="202"/>
        <item x="634"/>
        <item x="636"/>
        <item x="635"/>
        <item x="682"/>
        <item x="683"/>
        <item x="716"/>
        <item x="711"/>
        <item x="468"/>
        <item x="708"/>
        <item x="206"/>
        <item x="200"/>
        <item x="439"/>
        <item x="199"/>
        <item x="263"/>
        <item x="482"/>
        <item x="261"/>
        <item x="262"/>
        <item x="244"/>
        <item x="264"/>
        <item x="544"/>
        <item x="484"/>
        <item x="489"/>
        <item x="507"/>
        <item x="296"/>
        <item x="508"/>
        <item x="298"/>
        <item x="300"/>
        <item x="321"/>
        <item x="279"/>
        <item x="315"/>
        <item x="437"/>
        <item x="500"/>
        <item x="502"/>
        <item x="505"/>
        <item x="473"/>
        <item x="462"/>
        <item x="527"/>
        <item x="528"/>
        <item x="530"/>
        <item x="531"/>
        <item x="366"/>
        <item x="779"/>
        <item x="367"/>
        <item x="310"/>
        <item x="474"/>
        <item x="501"/>
        <item x="477"/>
        <item x="312"/>
        <item x="299"/>
        <item x="783"/>
        <item x="784"/>
        <item x="813"/>
        <item x="809"/>
        <item x="812"/>
        <item x="830"/>
        <item x="832"/>
        <item x="831"/>
        <item x="833"/>
        <item x="834"/>
        <item x="835"/>
        <item x="836"/>
        <item x="839"/>
        <item x="840"/>
        <item x="842"/>
        <item x="841"/>
        <item x="843"/>
        <item x="817"/>
        <item x="818"/>
        <item x="819"/>
        <item x="820"/>
        <item x="821"/>
        <item x="822"/>
        <item x="824"/>
        <item x="825"/>
        <item x="826"/>
        <item x="827"/>
        <item x="828"/>
        <item x="829"/>
        <item x="837"/>
        <item x="838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955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t="default"/>
      </items>
    </pivotField>
    <pivotField dataField="1" compact="0" showAll="0">
      <items count="1462">
        <item x="1163"/>
        <item x="1167"/>
        <item x="1114"/>
        <item x="1116"/>
        <item x="560"/>
        <item x="377"/>
        <item x="672"/>
        <item x="1102"/>
        <item x="440"/>
        <item x="658"/>
        <item x="657"/>
        <item x="391"/>
        <item x="652"/>
        <item x="651"/>
        <item x="611"/>
        <item x="605"/>
        <item x="602"/>
        <item x="366"/>
        <item x="516"/>
        <item x="567"/>
        <item x="383"/>
        <item x="365"/>
        <item x="363"/>
        <item x="1000"/>
        <item x="631"/>
        <item x="361"/>
        <item x="618"/>
        <item x="615"/>
        <item x="578"/>
        <item x="692"/>
        <item x="327"/>
        <item x="575"/>
        <item x="562"/>
        <item x="931"/>
        <item x="257"/>
        <item x="251"/>
        <item x="554"/>
        <item x="994"/>
        <item x="944"/>
        <item x="943"/>
        <item x="855"/>
        <item x="852"/>
        <item x="568"/>
        <item x="851"/>
        <item x="370"/>
        <item x="286"/>
        <item x="805"/>
        <item x="246"/>
        <item x="379"/>
        <item x="184"/>
        <item x="508"/>
        <item x="463"/>
        <item x="449"/>
        <item x="452"/>
        <item x="1076"/>
        <item x="506"/>
        <item x="555"/>
        <item x="584"/>
        <item x="336"/>
        <item x="1035"/>
        <item x="321"/>
        <item x="148"/>
        <item x="381"/>
        <item x="311"/>
        <item x="448"/>
        <item x="1003"/>
        <item x="298"/>
        <item x="954"/>
        <item x="871"/>
        <item x="260"/>
        <item x="1063"/>
        <item x="294"/>
        <item x="946"/>
        <item x="1170"/>
        <item x="1009"/>
        <item x="942"/>
        <item x="1117"/>
        <item x="996"/>
        <item x="290"/>
        <item x="604"/>
        <item x="627"/>
        <item x="601"/>
        <item x="152"/>
        <item x="1165"/>
        <item x="474"/>
        <item x="470"/>
        <item x="334"/>
        <item x="749"/>
        <item x="541"/>
        <item x="332"/>
        <item x="539"/>
        <item x="356"/>
        <item x="974"/>
        <item x="319"/>
        <item x="330"/>
        <item x="320"/>
        <item x="572"/>
        <item x="583"/>
        <item x="676"/>
        <item x="613"/>
        <item x="646"/>
        <item x="666"/>
        <item x="732"/>
        <item x="324"/>
        <item x="318"/>
        <item x="746"/>
        <item x="1082"/>
        <item x="1005"/>
        <item x="1007"/>
        <item x="911"/>
        <item x="688"/>
        <item x="1044"/>
        <item x="837"/>
        <item x="773"/>
        <item x="664"/>
        <item x="721"/>
        <item x="669"/>
        <item x="1027"/>
        <item x="520"/>
        <item x="896"/>
        <item x="694"/>
        <item x="258"/>
        <item x="696"/>
        <item x="165"/>
        <item x="897"/>
        <item x="704"/>
        <item x="697"/>
        <item x="233"/>
        <item x="702"/>
        <item x="292"/>
        <item x="265"/>
        <item x="268"/>
        <item x="424"/>
        <item x="544"/>
        <item x="270"/>
        <item x="211"/>
        <item x="169"/>
        <item x="274"/>
        <item x="262"/>
        <item x="244"/>
        <item x="243"/>
        <item x="700"/>
        <item x="880"/>
        <item x="830"/>
        <item x="199"/>
        <item x="873"/>
        <item x="218"/>
        <item x="1093"/>
        <item x="752"/>
        <item x="858"/>
        <item x="844"/>
        <item x="904"/>
        <item x="899"/>
        <item x="375"/>
        <item x="812"/>
        <item x="885"/>
        <item x="374"/>
        <item x="903"/>
        <item x="909"/>
        <item x="865"/>
        <item x="833"/>
        <item x="473"/>
        <item x="834"/>
        <item x="477"/>
        <item x="483"/>
        <item x="642"/>
        <item x="823"/>
        <item x="882"/>
        <item x="797"/>
        <item x="309"/>
        <item x="802"/>
        <item x="609"/>
        <item x="949"/>
        <item x="421"/>
        <item x="940"/>
        <item x="808"/>
        <item x="307"/>
        <item x="593"/>
        <item x="639"/>
        <item x="957"/>
        <item x="323"/>
        <item x="314"/>
        <item x="310"/>
        <item x="889"/>
        <item x="621"/>
        <item x="549"/>
        <item x="718"/>
        <item x="989"/>
        <item x="468"/>
        <item x="985"/>
        <item x="552"/>
        <item x="982"/>
        <item x="992"/>
        <item x="741"/>
        <item x="935"/>
        <item x="976"/>
        <item x="717"/>
        <item x="972"/>
        <item x="357"/>
        <item x="708"/>
        <item x="736"/>
        <item x="969"/>
        <item x="744"/>
        <item x="748"/>
        <item x="927"/>
        <item x="968"/>
        <item x="350"/>
        <item x="966"/>
        <item x="964"/>
        <item x="191"/>
        <item x="1091"/>
        <item x="643"/>
        <item x="731"/>
        <item x="1061"/>
        <item x="510"/>
        <item x="993"/>
        <item x="981"/>
        <item x="513"/>
        <item x="977"/>
        <item x="439"/>
        <item x="973"/>
        <item x="727"/>
        <item x="482"/>
        <item x="525"/>
        <item x="955"/>
        <item x="480"/>
        <item x="485"/>
        <item x="447"/>
        <item x="686"/>
        <item x="488"/>
        <item x="1125"/>
        <item x="523"/>
        <item x="988"/>
        <item x="489"/>
        <item x="534"/>
        <item x="861"/>
        <item x="1048"/>
        <item x="820"/>
        <item x="828"/>
        <item x="162"/>
        <item x="841"/>
        <item x="528"/>
        <item x="1050"/>
        <item x="879"/>
        <item x="827"/>
        <item x="1026"/>
        <item x="839"/>
        <item x="487"/>
        <item x="902"/>
        <item x="1032"/>
        <item x="590"/>
        <item x="1040"/>
        <item x="779"/>
        <item x="443"/>
        <item x="819"/>
        <item x="435"/>
        <item x="868"/>
        <item x="490"/>
        <item x="846"/>
        <item x="445"/>
        <item x="1028"/>
        <item x="591"/>
        <item x="372"/>
        <item x="196"/>
        <item x="595"/>
        <item x="548"/>
        <item x="351"/>
        <item x="886"/>
        <item x="892"/>
        <item x="353"/>
        <item x="429"/>
        <item x="907"/>
        <item x="492"/>
        <item x="495"/>
        <item x="847"/>
        <item x="800"/>
        <item x="565"/>
        <item x="580"/>
        <item x="790"/>
        <item x="792"/>
        <item x="573"/>
        <item x="804"/>
        <item x="862"/>
        <item x="521"/>
        <item x="1021"/>
        <item x="758"/>
        <item x="869"/>
        <item x="767"/>
        <item x="789"/>
        <item x="816"/>
        <item x="925"/>
        <item x="598"/>
        <item x="587"/>
        <item x="396"/>
        <item x="920"/>
        <item x="960"/>
        <item x="923"/>
        <item x="739"/>
        <item x="249"/>
        <item x="787"/>
        <item x="738"/>
        <item x="1062"/>
        <item x="167"/>
        <item x="917"/>
        <item x="761"/>
        <item x="1041"/>
        <item x="757"/>
        <item x="1059"/>
        <item x="1089"/>
        <item x="428"/>
        <item x="683"/>
        <item x="685"/>
        <item x="709"/>
        <item x="810"/>
        <item x="770"/>
        <item x="999"/>
        <item x="952"/>
        <item x="1068"/>
        <item x="1055"/>
        <item x="501"/>
        <item x="637"/>
        <item x="1067"/>
        <item x="1012"/>
        <item x="411"/>
        <item x="662"/>
        <item x="467"/>
        <item x="1084"/>
        <item x="475"/>
        <item x="283"/>
        <item x="1074"/>
        <item x="1056"/>
        <item x="636"/>
        <item x="413"/>
        <item x="455"/>
        <item x="442"/>
        <item x="772"/>
        <item x="1066"/>
        <item x="446"/>
        <item x="240"/>
        <item x="914"/>
        <item x="68"/>
        <item x="729"/>
        <item x="1100"/>
        <item x="650"/>
        <item x="267"/>
        <item x="132"/>
        <item x="1023"/>
        <item x="1014"/>
        <item x="1018"/>
        <item x="66"/>
        <item x="628"/>
        <item x="630"/>
        <item x="509"/>
        <item x="205"/>
        <item x="400"/>
        <item x="623"/>
        <item x="208"/>
        <item x="626"/>
        <item x="209"/>
        <item x="238"/>
        <item x="1087"/>
        <item x="1111"/>
        <item x="1122"/>
        <item x="1016"/>
        <item x="585"/>
        <item x="570"/>
        <item x="1037"/>
        <item x="1119"/>
        <item x="607"/>
        <item x="1019"/>
        <item x="1058"/>
        <item x="538"/>
        <item x="192"/>
        <item x="1022"/>
        <item x="61"/>
        <item x="535"/>
        <item x="51"/>
        <item x="280"/>
        <item x="795"/>
        <item x="405"/>
        <item x="529"/>
        <item x="459"/>
        <item x="456"/>
        <item x="174"/>
        <item x="1034"/>
        <item x="181"/>
        <item x="277"/>
        <item x="551"/>
        <item x="763"/>
        <item x="786"/>
        <item x="248"/>
        <item x="1126"/>
        <item x="188"/>
        <item x="382"/>
        <item x="276"/>
        <item x="136"/>
        <item x="392"/>
        <item x="983"/>
        <item x="893"/>
        <item x="343"/>
        <item x="333"/>
        <item x="112"/>
        <item x="103"/>
        <item x="1121"/>
        <item x="295"/>
        <item x="347"/>
        <item x="325"/>
        <item x="1096"/>
        <item x="346"/>
        <item x="345"/>
        <item x="110"/>
        <item x="680"/>
        <item x="1105"/>
        <item x="431"/>
        <item x="296"/>
        <item x="335"/>
        <item x="682"/>
        <item x="114"/>
        <item x="187"/>
        <item x="1072"/>
        <item x="108"/>
        <item x="118"/>
        <item x="299"/>
        <item x="117"/>
        <item x="373"/>
        <item x="724"/>
        <item x="90"/>
        <item x="1108"/>
        <item x="388"/>
        <item x="1104"/>
        <item x="915"/>
        <item x="512"/>
        <item x="300"/>
        <item x="678"/>
        <item x="126"/>
        <item x="417"/>
        <item x="419"/>
        <item x="494"/>
        <item x="53"/>
        <item x="500"/>
        <item x="1138"/>
        <item x="1140"/>
        <item x="180"/>
        <item x="176"/>
        <item x="1143"/>
        <item x="82"/>
        <item x="436"/>
        <item x="425"/>
        <item x="172"/>
        <item x="444"/>
        <item x="141"/>
        <item x="410"/>
        <item x="1142"/>
        <item x="128"/>
        <item x="453"/>
        <item x="76"/>
        <item x="1146"/>
        <item x="119"/>
        <item x="342"/>
        <item x="775"/>
        <item x="407"/>
        <item x="768"/>
        <item x="404"/>
        <item x="756"/>
        <item x="762"/>
        <item x="950"/>
        <item x="19"/>
        <item x="780"/>
        <item x="54"/>
        <item x="21"/>
        <item x="149"/>
        <item x="58"/>
        <item x="596"/>
        <item x="213"/>
        <item x="173"/>
        <item x="1129"/>
        <item x="133"/>
        <item x="1135"/>
        <item x="707"/>
        <item x="222"/>
        <item x="122"/>
        <item x="23"/>
        <item x="1045"/>
        <item x="1157"/>
        <item x="958"/>
        <item x="710"/>
        <item x="859"/>
        <item x="713"/>
        <item x="67"/>
        <item x="74"/>
        <item x="4"/>
        <item x="398"/>
        <item x="2"/>
        <item x="225"/>
        <item x="1153"/>
        <item x="8"/>
        <item x="235"/>
        <item x="78"/>
        <item x="232"/>
        <item x="105"/>
        <item x="226"/>
        <item x="101"/>
        <item x="95"/>
        <item x="229"/>
        <item x="17"/>
        <item x="402"/>
        <item x="284"/>
        <item x="99"/>
        <item x="28"/>
        <item x="86"/>
        <item x="26"/>
        <item x="11"/>
        <item x="88"/>
        <item x="75"/>
        <item x="62"/>
        <item x="200"/>
        <item x="202"/>
        <item x="203"/>
        <item x="81"/>
        <item x="890"/>
        <item x="195"/>
        <item x="502"/>
        <item x="96"/>
        <item x="89"/>
        <item x="217"/>
        <item x="43"/>
        <item x="272"/>
        <item x="6"/>
        <item x="183"/>
        <item x="170"/>
        <item x="69"/>
        <item x="36"/>
        <item x="1131"/>
        <item x="201"/>
        <item x="186"/>
        <item x="924"/>
        <item x="1172"/>
        <item x="142"/>
        <item x="48"/>
        <item x="49"/>
        <item x="1151"/>
        <item x="341"/>
        <item x="34"/>
        <item x="1178"/>
        <item x="153"/>
        <item x="723"/>
        <item x="961"/>
        <item x="45"/>
        <item x="39"/>
        <item x="70"/>
        <item x="220"/>
        <item x="242"/>
        <item x="42"/>
        <item x="15"/>
        <item x="87"/>
        <item x="515"/>
        <item x="13"/>
        <item x="44"/>
        <item x="938"/>
        <item x="497"/>
        <item x="835"/>
        <item x="1086"/>
        <item x="496"/>
        <item x="813"/>
        <item x="532"/>
        <item x="156"/>
        <item x="825"/>
        <item x="815"/>
        <item x="160"/>
        <item x="545"/>
        <item x="533"/>
        <item x="159"/>
        <item x="316"/>
        <item x="158"/>
        <item x="155"/>
        <item x="157"/>
        <item x="317"/>
        <item x="154"/>
        <item x="814"/>
        <item x="824"/>
        <item x="1161"/>
        <item x="1149"/>
        <item x="219"/>
        <item x="0"/>
        <item x="32"/>
        <item x="654"/>
        <item x="660"/>
        <item x="1159"/>
        <item x="125"/>
        <item x="31"/>
        <item x="29"/>
        <item x="139"/>
        <item x="24"/>
        <item x="1152"/>
        <item x="37"/>
        <item x="1150"/>
        <item x="41"/>
        <item x="1184"/>
        <item x="12"/>
        <item x="179"/>
        <item x="712"/>
        <item x="1183"/>
        <item x="1168"/>
        <item x="836"/>
        <item x="288"/>
        <item x="1148"/>
        <item x="63"/>
        <item x="930"/>
        <item x="673"/>
        <item x="231"/>
        <item x="1147"/>
        <item x="1160"/>
        <item x="1132"/>
        <item x="1097"/>
        <item x="263"/>
        <item x="120"/>
        <item x="438"/>
        <item x="214"/>
        <item x="282"/>
        <item x="430"/>
        <item x="422"/>
        <item x="1158"/>
        <item x="399"/>
        <item x="617"/>
        <item x="876"/>
        <item x="30"/>
        <item x="1085"/>
        <item x="536"/>
        <item x="389"/>
        <item x="1169"/>
        <item x="137"/>
        <item x="522"/>
        <item x="1182"/>
        <item x="256"/>
        <item x="796"/>
        <item x="619"/>
        <item x="134"/>
        <item x="919"/>
        <item x="273"/>
        <item x="840"/>
        <item x="403"/>
        <item x="715"/>
        <item x="663"/>
        <item x="130"/>
        <item x="934"/>
        <item x="1133"/>
        <item x="287"/>
        <item x="1136"/>
        <item x="674"/>
        <item x="138"/>
        <item x="705"/>
        <item x="1098"/>
        <item x="241"/>
        <item x="518"/>
        <item x="722"/>
        <item x="168"/>
        <item x="131"/>
        <item x="849"/>
        <item x="517"/>
        <item x="46"/>
        <item x="47"/>
        <item x="57"/>
        <item x="916"/>
        <item x="962"/>
        <item x="867"/>
        <item x="93"/>
        <item x="1042"/>
        <item x="1099"/>
        <item x="394"/>
        <item x="33"/>
        <item x="40"/>
        <item x="56"/>
        <item x="55"/>
        <item x="92"/>
        <item x="460"/>
        <item x="1155"/>
        <item x="35"/>
        <item x="1130"/>
        <item x="7"/>
        <item x="182"/>
        <item x="104"/>
        <item x="279"/>
        <item x="216"/>
        <item x="215"/>
        <item x="124"/>
        <item x="123"/>
        <item x="1123"/>
        <item x="1181"/>
        <item x="97"/>
        <item x="91"/>
        <item x="94"/>
        <item x="887"/>
        <item x="505"/>
        <item x="464"/>
        <item x="197"/>
        <item x="193"/>
        <item x="933"/>
        <item x="85"/>
        <item x="115"/>
        <item x="936"/>
        <item x="27"/>
        <item x="725"/>
        <item x="25"/>
        <item x="98"/>
        <item x="14"/>
        <item x="230"/>
        <item x="106"/>
        <item x="107"/>
        <item x="227"/>
        <item x="100"/>
        <item x="102"/>
        <item x="234"/>
        <item x="59"/>
        <item x="592"/>
        <item x="18"/>
        <item x="1154"/>
        <item x="5"/>
        <item x="236"/>
        <item x="10"/>
        <item x="237"/>
        <item x="9"/>
        <item x="1"/>
        <item x="77"/>
        <item x="79"/>
        <item x="714"/>
        <item x="83"/>
        <item x="143"/>
        <item x="1134"/>
        <item x="1156"/>
        <item x="3"/>
        <item x="146"/>
        <item x="1128"/>
        <item x="38"/>
        <item x="221"/>
        <item x="121"/>
        <item x="20"/>
        <item x="177"/>
        <item x="1052"/>
        <item x="150"/>
        <item x="22"/>
        <item x="427"/>
        <item x="16"/>
        <item x="764"/>
        <item x="781"/>
        <item x="728"/>
        <item x="778"/>
        <item x="127"/>
        <item x="784"/>
        <item x="769"/>
        <item x="466"/>
        <item x="1145"/>
        <item x="80"/>
        <item x="1144"/>
        <item x="783"/>
        <item x="145"/>
        <item x="1137"/>
        <item x="409"/>
        <item x="223"/>
        <item x="1069"/>
        <item x="406"/>
        <item x="414"/>
        <item x="437"/>
        <item x="1051"/>
        <item x="426"/>
        <item x="526"/>
        <item x="458"/>
        <item x="1139"/>
        <item x="178"/>
        <item x="1141"/>
        <item x="190"/>
        <item x="503"/>
        <item x="498"/>
        <item x="984"/>
        <item x="393"/>
        <item x="418"/>
        <item x="420"/>
        <item x="542"/>
        <item x="386"/>
        <item x="677"/>
        <item x="1103"/>
        <item x="433"/>
        <item x="387"/>
        <item x="301"/>
        <item x="416"/>
        <item x="1107"/>
        <item x="135"/>
        <item x="755"/>
        <item x="116"/>
        <item x="109"/>
        <item x="681"/>
        <item x="1083"/>
        <item x="189"/>
        <item x="1106"/>
        <item x="111"/>
        <item x="1109"/>
        <item x="113"/>
        <item x="194"/>
        <item x="432"/>
        <item x="338"/>
        <item x="252"/>
        <item x="340"/>
        <item x="339"/>
        <item x="359"/>
        <item x="302"/>
        <item x="360"/>
        <item x="1101"/>
        <item x="1127"/>
        <item x="384"/>
        <item x="303"/>
        <item x="140"/>
        <item x="760"/>
        <item x="785"/>
        <item x="254"/>
        <item x="774"/>
        <item x="50"/>
        <item x="556"/>
        <item x="1033"/>
        <item x="52"/>
        <item x="794"/>
        <item x="531"/>
        <item x="278"/>
        <item x="561"/>
        <item x="537"/>
        <item x="64"/>
        <item x="60"/>
        <item x="1025"/>
        <item x="175"/>
        <item x="1031"/>
        <item x="1039"/>
        <item x="606"/>
        <item x="543"/>
        <item x="281"/>
        <item x="1118"/>
        <item x="733"/>
        <item x="1110"/>
        <item x="975"/>
        <item x="754"/>
        <item x="622"/>
        <item x="129"/>
        <item x="401"/>
        <item x="629"/>
        <item x="207"/>
        <item x="239"/>
        <item x="633"/>
        <item x="634"/>
        <item x="84"/>
        <item x="71"/>
        <item x="72"/>
        <item x="73"/>
        <item x="1013"/>
        <item x="224"/>
        <item x="913"/>
        <item x="1124"/>
        <item x="1065"/>
        <item x="1079"/>
        <item x="1054"/>
        <item x="415"/>
        <item x="635"/>
        <item x="204"/>
        <item x="412"/>
        <item x="995"/>
        <item x="462"/>
        <item x="1071"/>
        <item x="1004"/>
        <item x="1011"/>
        <item x="1075"/>
        <item x="656"/>
        <item x="766"/>
        <item x="638"/>
        <item x="1095"/>
        <item x="1077"/>
        <item x="408"/>
        <item x="809"/>
        <item x="684"/>
        <item x="1080"/>
        <item x="1092"/>
        <item x="206"/>
        <item x="1073"/>
        <item x="1057"/>
        <item x="589"/>
        <item x="478"/>
        <item x="504"/>
        <item x="937"/>
        <item x="737"/>
        <item x="1043"/>
        <item x="740"/>
        <item x="558"/>
        <item x="818"/>
        <item x="921"/>
        <item x="765"/>
        <item x="776"/>
        <item x="255"/>
        <item x="1078"/>
        <item x="866"/>
        <item x="918"/>
        <item x="926"/>
        <item x="147"/>
        <item x="788"/>
        <item x="1029"/>
        <item x="759"/>
        <item x="870"/>
        <item x="581"/>
        <item x="144"/>
        <item x="777"/>
        <item x="863"/>
        <item x="803"/>
        <item x="1090"/>
        <item x="569"/>
        <item x="524"/>
        <item x="771"/>
        <item x="1088"/>
        <item x="397"/>
        <item x="793"/>
        <item x="791"/>
        <item x="499"/>
        <item x="894"/>
        <item x="564"/>
        <item x="848"/>
        <item x="798"/>
        <item x="888"/>
        <item x="906"/>
        <item x="355"/>
        <item x="1030"/>
        <item x="582"/>
        <item x="987"/>
        <item x="550"/>
        <item x="845"/>
        <item x="817"/>
        <item x="826"/>
        <item x="883"/>
        <item x="385"/>
        <item x="434"/>
        <item x="1024"/>
        <item x="877"/>
        <item x="842"/>
        <item x="874"/>
        <item x="829"/>
        <item x="821"/>
        <item x="1047"/>
        <item x="1046"/>
        <item x="530"/>
        <item x="362"/>
        <item x="228"/>
        <item x="687"/>
        <item x="527"/>
        <item x="979"/>
        <item x="451"/>
        <item x="161"/>
        <item x="998"/>
        <item x="588"/>
        <item x="734"/>
        <item x="1064"/>
        <item x="511"/>
        <item x="395"/>
        <item x="730"/>
        <item x="922"/>
        <item x="1070"/>
        <item x="454"/>
        <item x="965"/>
        <item x="750"/>
        <item x="963"/>
        <item x="349"/>
        <item x="928"/>
        <item x="967"/>
        <item x="348"/>
        <item x="743"/>
        <item x="1094"/>
        <item x="745"/>
        <item x="352"/>
        <item x="735"/>
        <item x="1038"/>
        <item x="354"/>
        <item x="716"/>
        <item x="978"/>
        <item x="471"/>
        <item x="742"/>
        <item x="997"/>
        <item x="881"/>
        <item x="577"/>
        <item x="719"/>
        <item x="557"/>
        <item x="986"/>
        <item x="620"/>
        <item x="711"/>
        <item x="895"/>
        <item x="891"/>
        <item x="640"/>
        <item x="951"/>
        <item x="959"/>
        <item x="939"/>
        <item x="649"/>
        <item x="948"/>
        <item x="608"/>
        <item x="312"/>
        <item x="576"/>
        <item x="799"/>
        <item x="597"/>
        <item x="308"/>
        <item x="1120"/>
        <item x="641"/>
        <item x="1017"/>
        <item x="832"/>
        <item x="322"/>
        <item x="864"/>
        <item x="822"/>
        <item x="476"/>
        <item x="875"/>
        <item x="481"/>
        <item x="469"/>
        <item x="261"/>
        <item x="908"/>
        <item x="932"/>
        <item x="423"/>
        <item x="166"/>
        <item x="163"/>
        <item x="164"/>
        <item x="484"/>
        <item x="751"/>
        <item x="843"/>
        <item x="900"/>
        <item x="905"/>
        <item x="860"/>
        <item x="648"/>
        <item x="461"/>
        <item x="857"/>
        <item x="679"/>
        <item x="884"/>
        <item x="198"/>
        <item x="753"/>
        <item x="878"/>
        <item x="831"/>
        <item x="872"/>
        <item x="703"/>
        <item x="247"/>
        <item x="690"/>
        <item x="1173"/>
        <item x="210"/>
        <item x="271"/>
        <item x="275"/>
        <item x="171"/>
        <item x="546"/>
        <item x="212"/>
        <item x="264"/>
        <item x="269"/>
        <item x="1053"/>
        <item x="701"/>
        <item x="698"/>
        <item x="706"/>
        <item x="693"/>
        <item x="699"/>
        <item x="898"/>
        <item x="369"/>
        <item x="695"/>
        <item x="367"/>
        <item x="368"/>
        <item x="670"/>
        <item x="1006"/>
        <item x="665"/>
        <item x="782"/>
        <item x="726"/>
        <item x="720"/>
        <item x="910"/>
        <item x="1081"/>
        <item x="689"/>
        <item x="912"/>
        <item x="1008"/>
        <item x="151"/>
        <item x="971"/>
        <item x="645"/>
        <item x="747"/>
        <item x="667"/>
        <item x="806"/>
        <item x="668"/>
        <item x="675"/>
        <item x="1015"/>
        <item x="612"/>
        <item x="661"/>
        <item x="594"/>
        <item x="644"/>
        <item x="331"/>
        <item x="540"/>
        <item x="358"/>
        <item x="1049"/>
        <item x="337"/>
        <item x="472"/>
        <item x="479"/>
        <item x="491"/>
        <item x="306"/>
        <item x="1164"/>
        <item x="304"/>
        <item x="1060"/>
        <item x="625"/>
        <item x="801"/>
        <item x="600"/>
        <item x="990"/>
        <item x="289"/>
        <item x="632"/>
        <item x="1113"/>
        <item x="1010"/>
        <item x="624"/>
        <item x="970"/>
        <item x="956"/>
        <item x="947"/>
        <item x="1171"/>
        <item x="901"/>
        <item x="293"/>
        <item x="811"/>
        <item x="953"/>
        <item x="929"/>
        <item x="297"/>
        <item x="266"/>
        <item x="563"/>
        <item x="259"/>
        <item x="807"/>
        <item x="313"/>
        <item x="486"/>
        <item x="838"/>
        <item x="1020"/>
        <item x="1036"/>
        <item x="315"/>
        <item x="579"/>
        <item x="493"/>
        <item x="571"/>
        <item x="553"/>
        <item x="980"/>
        <item x="65"/>
        <item x="450"/>
        <item x="457"/>
        <item x="465"/>
        <item x="245"/>
        <item x="185"/>
        <item x="1001"/>
        <item x="378"/>
        <item x="507"/>
        <item x="285"/>
        <item x="371"/>
        <item x="253"/>
        <item x="856"/>
        <item x="853"/>
        <item x="850"/>
        <item x="854"/>
        <item x="945"/>
        <item x="1002"/>
        <item x="991"/>
        <item x="519"/>
        <item x="250"/>
        <item x="574"/>
        <item x="328"/>
        <item x="326"/>
        <item x="305"/>
        <item x="329"/>
        <item x="291"/>
        <item x="691"/>
        <item x="586"/>
        <item x="614"/>
        <item x="616"/>
        <item x="647"/>
        <item x="390"/>
        <item x="344"/>
        <item x="514"/>
        <item x="941"/>
        <item x="599"/>
        <item x="610"/>
        <item x="559"/>
        <item x="547"/>
        <item x="653"/>
        <item x="655"/>
        <item x="659"/>
        <item x="376"/>
        <item x="671"/>
        <item x="441"/>
        <item x="603"/>
        <item x="566"/>
        <item x="380"/>
        <item x="364"/>
        <item x="1112"/>
        <item x="1115"/>
        <item x="1166"/>
        <item x="1162"/>
        <item x="1191"/>
        <item x="1194"/>
        <item x="1193"/>
        <item x="1192"/>
        <item x="1195"/>
        <item x="1196"/>
        <item x="1198"/>
        <item x="1197"/>
        <item x="1199"/>
        <item x="1201"/>
        <item x="1200"/>
        <item x="1202"/>
        <item x="1204"/>
        <item x="1203"/>
        <item x="1205"/>
        <item x="1206"/>
        <item x="1208"/>
        <item x="1212"/>
        <item x="1211"/>
        <item x="1210"/>
        <item x="1214"/>
        <item x="1213"/>
        <item x="1217"/>
        <item x="1216"/>
        <item x="1215"/>
        <item x="1218"/>
        <item x="1220"/>
        <item x="1221"/>
        <item x="1174"/>
        <item x="1175"/>
        <item x="1176"/>
        <item x="1177"/>
        <item x="1179"/>
        <item x="1180"/>
        <item x="1185"/>
        <item x="1186"/>
        <item x="1187"/>
        <item x="1188"/>
        <item x="1189"/>
        <item x="1190"/>
        <item x="1207"/>
        <item x="1209"/>
        <item x="1219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460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332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compact="0" showAll="0">
      <items count="1629">
        <item x="661"/>
        <item x="656"/>
        <item x="923"/>
        <item x="640"/>
        <item x="606"/>
        <item x="877"/>
        <item x="809"/>
        <item x="812"/>
        <item x="773"/>
        <item x="992"/>
        <item x="605"/>
        <item x="984"/>
        <item x="588"/>
        <item x="746"/>
        <item x="822"/>
        <item x="824"/>
        <item x="878"/>
        <item x="931"/>
        <item x="985"/>
        <item x="901"/>
        <item x="748"/>
        <item x="979"/>
        <item x="993"/>
        <item x="962"/>
        <item x="753"/>
        <item x="725"/>
        <item x="983"/>
        <item x="601"/>
        <item x="666"/>
        <item x="713"/>
        <item x="747"/>
        <item x="929"/>
        <item x="850"/>
        <item x="680"/>
        <item x="961"/>
        <item x="798"/>
        <item x="924"/>
        <item x="897"/>
        <item x="754"/>
        <item x="665"/>
        <item x="928"/>
        <item x="668"/>
        <item x="948"/>
        <item x="842"/>
        <item x="686"/>
        <item x="641"/>
        <item x="681"/>
        <item x="920"/>
        <item x="793"/>
        <item x="1006"/>
        <item x="752"/>
        <item x="846"/>
        <item x="843"/>
        <item x="749"/>
        <item x="864"/>
        <item x="825"/>
        <item x="738"/>
        <item x="766"/>
        <item x="645"/>
        <item x="774"/>
        <item x="994"/>
        <item x="697"/>
        <item x="702"/>
        <item x="719"/>
        <item x="869"/>
        <item x="900"/>
        <item x="892"/>
        <item x="861"/>
        <item x="986"/>
        <item x="647"/>
        <item x="714"/>
        <item x="982"/>
        <item x="902"/>
        <item x="980"/>
        <item x="883"/>
        <item x="679"/>
        <item x="965"/>
        <item x="963"/>
        <item x="786"/>
        <item x="792"/>
        <item x="802"/>
        <item x="751"/>
        <item x="806"/>
        <item x="760"/>
        <item x="762"/>
        <item x="744"/>
        <item x="816"/>
        <item x="734"/>
        <item x="823"/>
        <item x="820"/>
        <item x="612"/>
        <item x="860"/>
        <item x="855"/>
        <item x="739"/>
        <item x="856"/>
        <item x="898"/>
        <item x="868"/>
        <item x="718"/>
        <item x="783"/>
        <item x="728"/>
        <item x="870"/>
        <item x="1005"/>
        <item x="696"/>
        <item x="726"/>
        <item x="644"/>
        <item x="991"/>
        <item x="663"/>
        <item x="745"/>
        <item x="642"/>
        <item x="1001"/>
        <item x="737"/>
        <item x="1003"/>
        <item x="949"/>
        <item x="722"/>
        <item x="926"/>
        <item x="1030"/>
        <item x="1012"/>
        <item x="839"/>
        <item x="947"/>
        <item x="1017"/>
        <item x="1015"/>
        <item x="706"/>
        <item x="852"/>
        <item x="742"/>
        <item x="995"/>
        <item x="853"/>
        <item x="1043"/>
        <item x="750"/>
        <item x="880"/>
        <item x="614"/>
        <item x="885"/>
        <item x="814"/>
        <item x="699"/>
        <item x="1055"/>
        <item x="767"/>
        <item x="981"/>
        <item x="837"/>
        <item x="764"/>
        <item x="736"/>
        <item x="921"/>
        <item x="987"/>
        <item x="1007"/>
        <item x="593"/>
        <item x="707"/>
        <item x="831"/>
        <item x="741"/>
        <item x="743"/>
        <item x="887"/>
        <item x="220"/>
        <item x="854"/>
        <item x="975"/>
        <item x="964"/>
        <item x="890"/>
        <item x="761"/>
        <item x="0"/>
        <item x="1058"/>
        <item x="730"/>
        <item x="589"/>
        <item x="932"/>
        <item x="1045"/>
        <item x="638"/>
        <item x="222"/>
        <item x="698"/>
        <item x="131"/>
        <item x="1067"/>
        <item x="800"/>
        <item x="865"/>
        <item x="670"/>
        <item x="657"/>
        <item x="650"/>
        <item x="1046"/>
        <item x="1009"/>
        <item x="32"/>
        <item x="33"/>
        <item x="34"/>
        <item x="35"/>
        <item x="1048"/>
        <item x="1049"/>
        <item x="79"/>
        <item x="1047"/>
        <item x="38"/>
        <item x="132"/>
        <item x="1050"/>
        <item x="717"/>
        <item x="771"/>
        <item x="16"/>
        <item x="1059"/>
        <item x="149"/>
        <item x="899"/>
        <item x="628"/>
        <item x="796"/>
        <item x="198"/>
        <item x="826"/>
        <item x="797"/>
        <item x="1040"/>
        <item x="200"/>
        <item x="1000"/>
        <item x="1052"/>
        <item x="1053"/>
        <item x="1054"/>
        <item x="237"/>
        <item x="290"/>
        <item x="1033"/>
        <item x="1068"/>
        <item x="1034"/>
        <item x="821"/>
        <item x="196"/>
        <item x="150"/>
        <item x="265"/>
        <item x="930"/>
        <item x="765"/>
        <item x="87"/>
        <item x="918"/>
        <item x="795"/>
        <item x="712"/>
        <item x="25"/>
        <item x="2"/>
        <item x="629"/>
        <item x="20"/>
        <item x="803"/>
        <item x="872"/>
        <item x="801"/>
        <item x="1037"/>
        <item x="1060"/>
        <item x="1061"/>
        <item x="700"/>
        <item x="278"/>
        <item x="1063"/>
        <item x="664"/>
        <item x="1062"/>
        <item x="1029"/>
        <item x="274"/>
        <item x="279"/>
        <item x="153"/>
        <item x="156"/>
        <item x="262"/>
        <item x="267"/>
        <item x="260"/>
        <item x="692"/>
        <item x="7"/>
        <item x="281"/>
        <item x="302"/>
        <item x="685"/>
        <item x="790"/>
        <item x="789"/>
        <item x="788"/>
        <item x="140"/>
        <item x="450"/>
        <item x="871"/>
        <item x="134"/>
        <item x="239"/>
        <item x="724"/>
        <item x="1035"/>
        <item x="4"/>
        <item x="27"/>
        <item x="175"/>
        <item x="174"/>
        <item x="443"/>
        <item x="173"/>
        <item x="69"/>
        <item x="70"/>
        <item x="1042"/>
        <item x="172"/>
        <item x="171"/>
        <item x="782"/>
        <item x="29"/>
        <item x="30"/>
        <item x="170"/>
        <item x="808"/>
        <item x="9"/>
        <item x="781"/>
        <item x="780"/>
        <item x="169"/>
        <item x="31"/>
        <item x="306"/>
        <item x="168"/>
        <item x="167"/>
        <item x="15"/>
        <item x="1069"/>
        <item x="779"/>
        <item x="671"/>
        <item x="558"/>
        <item x="468"/>
        <item x="561"/>
        <item x="570"/>
        <item x="913"/>
        <item x="138"/>
        <item x="569"/>
        <item x="470"/>
        <item x="568"/>
        <item x="255"/>
        <item x="303"/>
        <item x="559"/>
        <item x="304"/>
        <item x="876"/>
        <item x="23"/>
        <item x="24"/>
        <item x="552"/>
        <item x="89"/>
        <item x="189"/>
        <item x="1038"/>
        <item x="811"/>
        <item x="1010"/>
        <item x="151"/>
        <item x="152"/>
        <item x="257"/>
        <item x="581"/>
        <item x="384"/>
        <item x="597"/>
        <item x="185"/>
        <item x="64"/>
        <item x="693"/>
        <item x="47"/>
        <item x="395"/>
        <item x="688"/>
        <item x="1021"/>
        <item x="446"/>
        <item x="146"/>
        <item x="655"/>
        <item x="101"/>
        <item x="704"/>
        <item x="252"/>
        <item x="690"/>
        <item x="250"/>
        <item x="397"/>
        <item x="660"/>
        <item x="147"/>
        <item x="300"/>
        <item x="683"/>
        <item x="423"/>
        <item x="906"/>
        <item x="13"/>
        <item x="990"/>
        <item x="460"/>
        <item x="60"/>
        <item x="236"/>
        <item x="235"/>
        <item x="11"/>
        <item x="12"/>
        <item x="425"/>
        <item x="909"/>
        <item x="410"/>
        <item x="540"/>
        <item x="859"/>
        <item x="78"/>
        <item x="18"/>
        <item x="56"/>
        <item x="93"/>
        <item x="705"/>
        <item x="177"/>
        <item x="163"/>
        <item x="429"/>
        <item x="537"/>
        <item x="784"/>
        <item x="541"/>
        <item x="431"/>
        <item x="46"/>
        <item x="48"/>
        <item x="54"/>
        <item x="52"/>
        <item x="166"/>
        <item x="226"/>
        <item x="228"/>
        <item x="960"/>
        <item x="5"/>
        <item x="36"/>
        <item x="1051"/>
        <item x="276"/>
        <item x="1011"/>
        <item x="978"/>
        <item x="155"/>
        <item x="548"/>
        <item x="45"/>
        <item x="51"/>
        <item x="49"/>
        <item x="44"/>
        <item x="1002"/>
        <item x="927"/>
        <item x="61"/>
        <item x="1056"/>
        <item x="37"/>
        <item x="1032"/>
        <item x="197"/>
        <item x="284"/>
        <item x="286"/>
        <item x="858"/>
        <item x="219"/>
        <item x="998"/>
        <item x="191"/>
        <item x="293"/>
        <item x="184"/>
        <item x="53"/>
        <item x="1004"/>
        <item x="1027"/>
        <item x="135"/>
        <item x="107"/>
        <item x="835"/>
        <item x="896"/>
        <item x="866"/>
        <item x="563"/>
        <item x="77"/>
        <item x="950"/>
        <item x="57"/>
        <item x="565"/>
        <item x="867"/>
        <item x="954"/>
        <item x="943"/>
        <item x="546"/>
        <item x="40"/>
        <item x="68"/>
        <item x="401"/>
        <item x="114"/>
        <item x="102"/>
        <item x="709"/>
        <item x="50"/>
        <item x="26"/>
        <item x="840"/>
        <item x="28"/>
        <item x="611"/>
        <item x="316"/>
        <item x="477"/>
        <item x="62"/>
        <item x="6"/>
        <item x="1"/>
        <item x="8"/>
        <item x="1057"/>
        <item x="88"/>
        <item x="10"/>
        <item x="157"/>
        <item x="1031"/>
        <item x="65"/>
        <item x="3"/>
        <item x="299"/>
        <item x="39"/>
        <item x="1036"/>
        <item x="67"/>
        <item x="996"/>
        <item x="133"/>
        <item x="14"/>
        <item x="238"/>
        <item x="251"/>
        <item x="90"/>
        <item x="253"/>
        <item x="21"/>
        <item x="22"/>
        <item x="17"/>
        <item x="145"/>
        <item x="19"/>
        <item x="63"/>
        <item x="43"/>
        <item x="130"/>
        <item x="1044"/>
        <item x="755"/>
        <item x="86"/>
        <item x="212"/>
        <item x="139"/>
        <item x="94"/>
        <item x="41"/>
        <item x="42"/>
        <item x="393"/>
        <item x="240"/>
        <item x="59"/>
        <item x="967"/>
        <item x="1041"/>
        <item x="1039"/>
        <item x="442"/>
        <item x="444"/>
        <item x="296"/>
        <item x="103"/>
        <item x="162"/>
        <item x="164"/>
        <item x="354"/>
        <item x="424"/>
        <item x="673"/>
        <item x="1014"/>
        <item x="218"/>
        <item x="243"/>
        <item x="727"/>
        <item x="907"/>
        <item x="136"/>
        <item x="137"/>
        <item x="1016"/>
        <item x="106"/>
        <item x="108"/>
        <item x="729"/>
        <item x="92"/>
        <item x="110"/>
        <item x="115"/>
        <item x="988"/>
        <item x="112"/>
        <item x="117"/>
        <item x="432"/>
        <item x="411"/>
        <item x="1008"/>
        <item x="448"/>
        <item x="449"/>
        <item x="345"/>
        <item x="100"/>
        <item x="451"/>
        <item x="268"/>
        <item x="533"/>
        <item x="148"/>
        <item x="104"/>
        <item x="735"/>
        <item x="154"/>
        <item x="439"/>
        <item x="440"/>
        <item x="586"/>
        <item x="549"/>
        <item x="952"/>
        <item x="192"/>
        <item x="195"/>
        <item x="905"/>
        <item x="763"/>
        <item x="972"/>
        <item x="474"/>
        <item x="455"/>
        <item x="582"/>
        <item x="409"/>
        <item x="188"/>
        <item x="124"/>
        <item x="122"/>
        <item x="551"/>
        <item x="343"/>
        <item x="71"/>
        <item x="939"/>
        <item x="120"/>
        <item x="621"/>
        <item x="126"/>
        <item x="557"/>
        <item x="560"/>
        <item x="412"/>
        <item x="1024"/>
        <item x="957"/>
        <item x="594"/>
        <item x="422"/>
        <item x="190"/>
        <item x="1026"/>
        <item x="1018"/>
        <item x="418"/>
        <item x="215"/>
        <item x="217"/>
        <item x="731"/>
        <item x="631"/>
        <item x="221"/>
        <item x="636"/>
        <item x="637"/>
        <item x="639"/>
        <item x="80"/>
        <item x="55"/>
        <item x="85"/>
        <item x="934"/>
        <item x="213"/>
        <item x="141"/>
        <item x="710"/>
        <item x="851"/>
        <item x="254"/>
        <item x="256"/>
        <item x="643"/>
        <item x="648"/>
        <item x="999"/>
        <item x="933"/>
        <item x="919"/>
        <item x="566"/>
        <item x="740"/>
        <item x="881"/>
        <item x="922"/>
        <item x="974"/>
        <item x="776"/>
        <item x="208"/>
        <item x="678"/>
        <item x="91"/>
        <item x="675"/>
        <item x="677"/>
        <item x="223"/>
        <item x="225"/>
        <item x="989"/>
        <item x="99"/>
        <item x="733"/>
        <item x="242"/>
        <item x="959"/>
        <item x="968"/>
        <item x="244"/>
        <item x="315"/>
        <item x="758"/>
        <item x="716"/>
        <item x="756"/>
        <item x="264"/>
        <item x="886"/>
        <item x="292"/>
        <item x="317"/>
        <item x="109"/>
        <item x="105"/>
        <item x="818"/>
        <item x="607"/>
        <item x="615"/>
        <item x="445"/>
        <item x="832"/>
        <item x="111"/>
        <item x="430"/>
        <item x="116"/>
        <item x="759"/>
        <item x="118"/>
        <item x="113"/>
        <item x="428"/>
        <item x="414"/>
        <item x="603"/>
        <item x="426"/>
        <item x="294"/>
        <item x="402"/>
        <item x="772"/>
        <item x="770"/>
        <item x="602"/>
        <item x="590"/>
        <item x="768"/>
        <item x="847"/>
        <item x="58"/>
        <item x="838"/>
        <item x="596"/>
        <item x="834"/>
        <item x="613"/>
        <item x="610"/>
        <item x="805"/>
        <item x="819"/>
        <item x="785"/>
        <item x="951"/>
        <item x="127"/>
        <item x="946"/>
        <item x="955"/>
        <item x="799"/>
        <item x="129"/>
        <item x="791"/>
        <item x="476"/>
        <item x="966"/>
        <item x="827"/>
        <item x="815"/>
        <item x="216"/>
        <item x="977"/>
        <item x="1028"/>
        <item x="553"/>
        <item x="381"/>
        <item x="187"/>
        <item x="66"/>
        <item x="942"/>
        <item x="76"/>
        <item x="608"/>
        <item x="176"/>
        <item x="473"/>
        <item x="193"/>
        <item x="194"/>
        <item x="711"/>
        <item x="84"/>
        <item x="857"/>
        <item x="452"/>
        <item x="936"/>
        <item x="142"/>
        <item x="456"/>
        <item x="457"/>
        <item x="143"/>
        <item x="454"/>
        <item x="420"/>
        <item x="209"/>
        <item x="889"/>
        <item x="888"/>
        <item x="421"/>
        <item x="891"/>
        <item x="893"/>
        <item x="720"/>
        <item x="295"/>
        <item x="721"/>
        <item x="98"/>
        <item x="715"/>
        <item x="695"/>
        <item x="723"/>
        <item x="536"/>
        <item x="701"/>
        <item x="144"/>
        <item x="97"/>
        <item x="297"/>
        <item x="298"/>
        <item x="95"/>
        <item x="830"/>
        <item x="230"/>
        <item x="231"/>
        <item x="630"/>
        <item x="241"/>
        <item x="836"/>
        <item x="180"/>
        <item x="912"/>
        <item x="547"/>
        <item x="119"/>
        <item x="884"/>
        <item x="125"/>
        <item x="121"/>
        <item x="123"/>
        <item x="775"/>
        <item x="342"/>
        <item x="873"/>
        <item x="879"/>
        <item x="622"/>
        <item x="908"/>
        <item x="599"/>
        <item x="910"/>
        <item x="158"/>
        <item x="732"/>
        <item x="587"/>
        <item x="1025"/>
        <item x="646"/>
        <item x="944"/>
        <item x="794"/>
        <item x="817"/>
        <item x="787"/>
        <item x="544"/>
        <item x="545"/>
        <item x="848"/>
        <item x="312"/>
        <item x="845"/>
        <item x="433"/>
        <item x="427"/>
        <item x="512"/>
        <item x="778"/>
        <item x="437"/>
        <item x="435"/>
        <item x="804"/>
        <item x="708"/>
        <item x="813"/>
        <item x="676"/>
        <item x="674"/>
        <item x="314"/>
        <item x="211"/>
        <item x="1080"/>
        <item x="938"/>
        <item x="178"/>
        <item x="829"/>
        <item x="971"/>
        <item x="232"/>
        <item x="416"/>
        <item x="417"/>
        <item x="419"/>
        <item x="234"/>
        <item x="288"/>
        <item x="318"/>
        <item x="635"/>
        <item x="289"/>
        <item x="291"/>
        <item x="81"/>
        <item x="83"/>
        <item x="259"/>
        <item x="277"/>
        <item x="263"/>
        <item x="280"/>
        <item x="969"/>
        <item x="757"/>
        <item x="96"/>
        <item x="1072"/>
        <item x="571"/>
        <item x="567"/>
        <item x="207"/>
        <item x="687"/>
        <item x="186"/>
        <item x="973"/>
        <item x="1088"/>
        <item x="1089"/>
        <item x="691"/>
        <item x="447"/>
        <item x="1081"/>
        <item x="689"/>
        <item x="694"/>
        <item x="128"/>
        <item x="684"/>
        <item x="841"/>
        <item x="273"/>
        <item x="388"/>
        <item x="249"/>
        <item x="246"/>
        <item x="224"/>
        <item x="227"/>
        <item x="229"/>
        <item x="204"/>
        <item x="385"/>
        <item x="703"/>
        <item x="849"/>
        <item x="1071"/>
        <item x="550"/>
        <item x="532"/>
        <item x="182"/>
        <item x="535"/>
        <item x="534"/>
        <item x="556"/>
        <item x="555"/>
        <item x="554"/>
        <item x="283"/>
        <item x="210"/>
        <item x="285"/>
        <item x="287"/>
        <item x="233"/>
        <item x="941"/>
        <item x="183"/>
        <item x="159"/>
        <item x="895"/>
        <item x="925"/>
        <item x="475"/>
        <item x="75"/>
        <item x="1087"/>
        <item x="1091"/>
        <item x="1093"/>
        <item x="1073"/>
        <item x="413"/>
        <item x="392"/>
        <item x="667"/>
        <item x="649"/>
        <item x="415"/>
        <item x="935"/>
        <item x="904"/>
        <item x="624"/>
        <item x="662"/>
        <item x="958"/>
        <item x="672"/>
        <item x="604"/>
        <item x="583"/>
        <item x="436"/>
        <item x="438"/>
        <item x="434"/>
        <item x="245"/>
        <item x="247"/>
        <item x="248"/>
        <item x="403"/>
        <item x="311"/>
        <item x="609"/>
        <item x="441"/>
        <item x="945"/>
        <item x="997"/>
        <item x="319"/>
        <item x="1065"/>
        <item x="453"/>
        <item x="160"/>
        <item x="976"/>
        <item x="205"/>
        <item x="214"/>
        <item x="203"/>
        <item x="769"/>
        <item x="82"/>
        <item x="165"/>
        <item x="914"/>
        <item x="543"/>
        <item x="562"/>
        <item x="305"/>
        <item x="911"/>
        <item x="1023"/>
        <item x="970"/>
        <item x="564"/>
        <item x="338"/>
        <item x="632"/>
        <item x="833"/>
        <item x="1070"/>
        <item x="844"/>
        <item x="511"/>
        <item x="777"/>
        <item x="882"/>
        <item x="862"/>
        <item x="863"/>
        <item x="529"/>
        <item x="404"/>
        <item x="406"/>
        <item x="407"/>
        <item x="937"/>
        <item x="531"/>
        <item x="828"/>
        <item x="467"/>
        <item x="282"/>
        <item x="308"/>
        <item x="505"/>
        <item x="600"/>
        <item x="275"/>
        <item x="310"/>
        <item x="514"/>
        <item x="355"/>
        <item x="74"/>
        <item x="181"/>
        <item x="484"/>
        <item x="496"/>
        <item x="498"/>
        <item x="940"/>
        <item x="206"/>
        <item x="202"/>
        <item x="584"/>
        <item x="179"/>
        <item x="507"/>
        <item x="595"/>
        <item x="485"/>
        <item x="73"/>
        <item x="580"/>
        <item x="894"/>
        <item x="903"/>
        <item x="405"/>
        <item x="258"/>
        <item x="953"/>
        <item x="592"/>
        <item x="199"/>
        <item x="201"/>
        <item x="261"/>
        <item x="469"/>
        <item x="471"/>
        <item x="396"/>
        <item x="161"/>
        <item x="341"/>
        <item x="301"/>
        <item x="356"/>
        <item x="361"/>
        <item x="1074"/>
        <item x="480"/>
        <item x="386"/>
        <item x="391"/>
        <item x="353"/>
        <item x="807"/>
        <item x="810"/>
        <item x="875"/>
        <item x="478"/>
        <item x="481"/>
        <item x="510"/>
        <item x="495"/>
        <item x="499"/>
        <item x="513"/>
        <item x="466"/>
        <item x="502"/>
        <item x="491"/>
        <item x="917"/>
        <item x="578"/>
        <item x="339"/>
        <item x="72"/>
        <item x="956"/>
        <item x="525"/>
        <item x="634"/>
        <item x="357"/>
        <item x="266"/>
        <item x="360"/>
        <item x="390"/>
        <item x="269"/>
        <item x="352"/>
        <item x="504"/>
        <item x="598"/>
        <item x="479"/>
        <item x="313"/>
        <item x="542"/>
        <item x="506"/>
        <item x="520"/>
        <item x="519"/>
        <item x="518"/>
        <item x="517"/>
        <item x="497"/>
        <item x="307"/>
        <item x="524"/>
        <item x="472"/>
        <item x="359"/>
        <item x="526"/>
        <item x="320"/>
        <item x="465"/>
        <item x="489"/>
        <item x="358"/>
        <item x="521"/>
        <item x="346"/>
        <item x="340"/>
        <item x="682"/>
        <item x="270"/>
        <item x="509"/>
        <item x="625"/>
        <item x="633"/>
        <item x="626"/>
        <item x="627"/>
        <item x="344"/>
        <item x="501"/>
        <item x="651"/>
        <item x="379"/>
        <item x="916"/>
        <item x="389"/>
        <item x="492"/>
        <item x="387"/>
        <item x="482"/>
        <item x="577"/>
        <item x="523"/>
        <item x="516"/>
        <item x="309"/>
        <item x="503"/>
        <item x="337"/>
        <item x="527"/>
        <item x="464"/>
        <item x="327"/>
        <item x="271"/>
        <item x="272"/>
        <item x="522"/>
        <item x="515"/>
        <item x="528"/>
        <item x="539"/>
        <item x="508"/>
        <item x="538"/>
        <item x="530"/>
        <item x="576"/>
        <item x="400"/>
        <item x="488"/>
        <item x="494"/>
        <item x="483"/>
        <item x="500"/>
        <item x="874"/>
        <item x="490"/>
        <item x="383"/>
        <item x="574"/>
        <item x="380"/>
        <item x="463"/>
        <item x="351"/>
        <item x="486"/>
        <item x="915"/>
        <item x="375"/>
        <item x="652"/>
        <item x="618"/>
        <item x="620"/>
        <item x="616"/>
        <item x="623"/>
        <item x="399"/>
        <item x="487"/>
        <item x="348"/>
        <item x="350"/>
        <item x="654"/>
        <item x="658"/>
        <item x="365"/>
        <item x="579"/>
        <item x="328"/>
        <item x="575"/>
        <item x="369"/>
        <item x="462"/>
        <item x="336"/>
        <item x="493"/>
        <item x="371"/>
        <item x="573"/>
        <item x="364"/>
        <item x="374"/>
        <item x="653"/>
        <item x="659"/>
        <item x="408"/>
        <item x="1013"/>
        <item x="669"/>
        <item x="459"/>
        <item x="461"/>
        <item x="363"/>
        <item x="366"/>
        <item x="368"/>
        <item x="326"/>
        <item x="330"/>
        <item x="370"/>
        <item x="572"/>
        <item x="394"/>
        <item x="376"/>
        <item x="372"/>
        <item x="321"/>
        <item x="617"/>
        <item x="619"/>
        <item x="591"/>
        <item x="362"/>
        <item x="347"/>
        <item x="349"/>
        <item x="377"/>
        <item x="458"/>
        <item x="398"/>
        <item x="335"/>
        <item x="367"/>
        <item x="585"/>
        <item x="323"/>
        <item x="325"/>
        <item x="373"/>
        <item x="329"/>
        <item x="378"/>
        <item x="322"/>
        <item x="382"/>
        <item x="324"/>
        <item x="334"/>
        <item x="333"/>
        <item x="332"/>
        <item x="331"/>
        <item x="1019"/>
        <item x="1020"/>
        <item x="1022"/>
        <item x="1066"/>
        <item x="1064"/>
        <item x="1127"/>
        <item x="1126"/>
        <item x="1133"/>
        <item x="1132"/>
        <item x="1138"/>
        <item x="1137"/>
        <item x="1141"/>
        <item x="1140"/>
        <item x="1143"/>
        <item x="1146"/>
        <item x="1145"/>
        <item x="1150"/>
        <item x="1151"/>
        <item x="1153"/>
        <item x="1156"/>
        <item x="1155"/>
        <item x="1159"/>
        <item x="1158"/>
        <item x="1157"/>
        <item x="1161"/>
        <item x="1160"/>
        <item x="1162"/>
        <item x="1165"/>
        <item x="1075"/>
        <item x="1076"/>
        <item x="1077"/>
        <item x="1078"/>
        <item x="1079"/>
        <item x="1082"/>
        <item x="1083"/>
        <item x="1084"/>
        <item x="1085"/>
        <item x="1086"/>
        <item x="1090"/>
        <item x="1092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8"/>
        <item x="1129"/>
        <item x="1130"/>
        <item x="1131"/>
        <item x="1134"/>
        <item x="1135"/>
        <item x="1136"/>
        <item x="1139"/>
        <item x="1142"/>
        <item x="1144"/>
        <item x="1147"/>
        <item x="1148"/>
        <item x="1149"/>
        <item x="1152"/>
        <item x="1154"/>
        <item x="1163"/>
        <item x="1164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627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t="default"/>
      </items>
    </pivotField>
    <pivotField compact="0" showAll="0">
      <items count="160">
        <item x="0"/>
        <item x="48"/>
        <item x="118"/>
        <item x="29"/>
        <item x="23"/>
        <item x="25"/>
        <item x="24"/>
        <item x="28"/>
        <item x="1"/>
        <item x="42"/>
        <item x="2"/>
        <item x="3"/>
        <item x="4"/>
        <item x="5"/>
        <item x="41"/>
        <item x="7"/>
        <item x="11"/>
        <item x="100"/>
        <item x="54"/>
        <item x="53"/>
        <item x="101"/>
        <item x="6"/>
        <item x="133"/>
        <item x="135"/>
        <item x="137"/>
        <item x="18"/>
        <item x="57"/>
        <item x="8"/>
        <item x="26"/>
        <item x="19"/>
        <item x="84"/>
        <item x="9"/>
        <item x="104"/>
        <item x="120"/>
        <item x="10"/>
        <item x="39"/>
        <item x="56"/>
        <item x="21"/>
        <item x="136"/>
        <item x="12"/>
        <item x="16"/>
        <item x="15"/>
        <item x="20"/>
        <item x="22"/>
        <item x="14"/>
        <item x="58"/>
        <item x="134"/>
        <item x="116"/>
        <item x="81"/>
        <item x="17"/>
        <item x="103"/>
        <item x="30"/>
        <item x="88"/>
        <item x="13"/>
        <item x="27"/>
        <item x="31"/>
        <item x="132"/>
        <item x="67"/>
        <item x="38"/>
        <item x="95"/>
        <item x="40"/>
        <item x="34"/>
        <item x="86"/>
        <item x="73"/>
        <item x="112"/>
        <item x="138"/>
        <item x="115"/>
        <item x="68"/>
        <item x="90"/>
        <item x="61"/>
        <item x="37"/>
        <item x="87"/>
        <item x="74"/>
        <item x="70"/>
        <item x="85"/>
        <item x="102"/>
        <item x="62"/>
        <item x="105"/>
        <item x="32"/>
        <item x="114"/>
        <item x="82"/>
        <item x="35"/>
        <item x="69"/>
        <item x="65"/>
        <item x="93"/>
        <item x="122"/>
        <item x="91"/>
        <item x="106"/>
        <item x="89"/>
        <item x="97"/>
        <item x="33"/>
        <item x="131"/>
        <item x="92"/>
        <item x="94"/>
        <item x="96"/>
        <item x="129"/>
        <item x="107"/>
        <item x="83"/>
        <item x="75"/>
        <item x="80"/>
        <item x="109"/>
        <item x="110"/>
        <item x="108"/>
        <item x="50"/>
        <item x="36"/>
        <item x="121"/>
        <item x="43"/>
        <item x="123"/>
        <item x="117"/>
        <item x="113"/>
        <item x="111"/>
        <item x="127"/>
        <item x="128"/>
        <item x="71"/>
        <item x="130"/>
        <item x="66"/>
        <item x="124"/>
        <item x="98"/>
        <item x="44"/>
        <item x="55"/>
        <item x="79"/>
        <item x="47"/>
        <item x="49"/>
        <item x="46"/>
        <item x="59"/>
        <item x="125"/>
        <item x="119"/>
        <item x="72"/>
        <item x="99"/>
        <item x="51"/>
        <item x="126"/>
        <item x="60"/>
        <item x="63"/>
        <item x="45"/>
        <item x="64"/>
        <item x="78"/>
        <item x="52"/>
        <item x="76"/>
        <item x="77"/>
        <item x="141"/>
        <item x="142"/>
        <item x="144"/>
        <item x="139"/>
        <item x="140"/>
        <item x="143"/>
        <item x="145"/>
        <item x="146"/>
        <item x="147"/>
        <item x="148"/>
        <item x="149"/>
        <item x="150"/>
        <item x="158"/>
        <item x="151"/>
        <item x="152"/>
        <item x="153"/>
        <item x="154"/>
        <item x="155"/>
        <item x="156"/>
        <item x="157"/>
        <item t="default"/>
      </items>
    </pivotField>
  </pivotFields>
  <rowFields count="2">
    <field x="3"/>
    <field x="2"/>
  </rowFields>
  <rowItems count="1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 r="1">
      <x v="31"/>
    </i>
    <i>
      <x v="79"/>
    </i>
    <i r="1">
      <x v="7"/>
    </i>
    <i r="1">
      <x v="9"/>
    </i>
    <i r="1">
      <x v="10"/>
    </i>
    <i r="1">
      <x v="33"/>
    </i>
    <i>
      <x v="80"/>
    </i>
    <i r="1">
      <x v="18"/>
    </i>
    <i r="1">
      <x v="25"/>
    </i>
    <i r="1">
      <x v="30"/>
    </i>
    <i r="1">
      <x v="36"/>
    </i>
    <i r="1">
      <x v="41"/>
    </i>
    <i>
      <x v="81"/>
    </i>
    <i>
      <x v="82"/>
    </i>
    <i r="1">
      <x v="18"/>
    </i>
    <i r="1">
      <x v="25"/>
    </i>
    <i r="1">
      <x v="30"/>
    </i>
    <i r="1">
      <x v="36"/>
    </i>
    <i r="1">
      <x v="38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4"/>
    </i>
    <i t="grand">
      <x/>
    </i>
  </rowItems>
  <colItems count="1">
    <i/>
  </colItems>
  <dataFields count="1">
    <dataField name="求和项:发生金额" fld="8" baseField="0" baseItem="0"/>
  </dataFields>
  <pivotTableStyleInfo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13"/>
  <sheetViews>
    <sheetView topLeftCell="A58" workbookViewId="0">
      <selection activeCell="D96" sqref="D96"/>
    </sheetView>
  </sheetViews>
  <sheetFormatPr defaultColWidth="9" defaultRowHeight="13.5" outlineLevelCol="3"/>
  <cols>
    <col min="1" max="1" width="11.5083333333333" customWidth="1"/>
    <col min="2" max="2" width="10.875"/>
    <col min="3" max="3" width="15.125"/>
    <col min="4" max="4" width="16.125"/>
    <col min="5" max="48" width="17.125"/>
    <col min="49" max="49" width="11.5"/>
    <col min="50" max="97" width="12.625"/>
  </cols>
  <sheetData>
    <row r="3" spans="2:4">
      <c r="B3" s="15" t="s">
        <v>0</v>
      </c>
      <c r="C3" s="15" t="s">
        <v>1</v>
      </c>
      <c r="D3" s="16" t="s">
        <v>2</v>
      </c>
    </row>
    <row r="4" spans="2:4">
      <c r="B4" s="15" t="s">
        <v>3</v>
      </c>
      <c r="C4" s="17"/>
      <c r="D4" s="16">
        <v>-272044.04</v>
      </c>
    </row>
    <row r="5" spans="2:4">
      <c r="B5" s="15" t="s">
        <v>4</v>
      </c>
      <c r="C5" s="17"/>
      <c r="D5" s="16">
        <v>-17054.19</v>
      </c>
    </row>
    <row r="6" spans="2:4">
      <c r="B6" s="15" t="s">
        <v>5</v>
      </c>
      <c r="C6" s="17"/>
      <c r="D6" s="16">
        <v>5739.24000000002</v>
      </c>
    </row>
    <row r="7" spans="2:4">
      <c r="B7" s="15" t="s">
        <v>6</v>
      </c>
      <c r="C7" s="17"/>
      <c r="D7" s="16">
        <v>578.040000000001</v>
      </c>
    </row>
    <row r="8" spans="2:4">
      <c r="B8" s="15" t="s">
        <v>7</v>
      </c>
      <c r="C8" s="17"/>
      <c r="D8" s="16">
        <v>-249.129999999999</v>
      </c>
    </row>
    <row r="9" spans="2:4">
      <c r="B9" s="15" t="s">
        <v>8</v>
      </c>
      <c r="C9" s="17"/>
      <c r="D9" s="16">
        <v>3482.84000000003</v>
      </c>
    </row>
    <row r="10" spans="2:4">
      <c r="B10" s="15" t="s">
        <v>9</v>
      </c>
      <c r="C10" s="17"/>
      <c r="D10" s="16">
        <v>-141.139999999999</v>
      </c>
    </row>
    <row r="11" spans="2:4">
      <c r="B11" s="15" t="s">
        <v>10</v>
      </c>
      <c r="C11" s="17"/>
      <c r="D11" s="16">
        <v>1318.14</v>
      </c>
    </row>
    <row r="12" spans="2:4">
      <c r="B12" s="15" t="s">
        <v>11</v>
      </c>
      <c r="C12" s="17"/>
      <c r="D12" s="16">
        <v>-384.940000000002</v>
      </c>
    </row>
    <row r="13" spans="2:4">
      <c r="B13" s="15" t="s">
        <v>12</v>
      </c>
      <c r="C13" s="17"/>
      <c r="D13" s="16">
        <v>-251.139999999999</v>
      </c>
    </row>
    <row r="14" spans="2:4">
      <c r="B14" s="15" t="s">
        <v>13</v>
      </c>
      <c r="C14" s="17"/>
      <c r="D14" s="16">
        <v>-69280.32</v>
      </c>
    </row>
    <row r="15" spans="2:4">
      <c r="B15" s="15" t="s">
        <v>14</v>
      </c>
      <c r="C15" s="17"/>
      <c r="D15" s="16">
        <v>2314.38</v>
      </c>
    </row>
    <row r="16" spans="2:4">
      <c r="B16" s="15" t="s">
        <v>15</v>
      </c>
      <c r="C16" s="17"/>
      <c r="D16" s="16">
        <v>285.320000000003</v>
      </c>
    </row>
    <row r="17" spans="2:4">
      <c r="B17" s="15" t="s">
        <v>16</v>
      </c>
      <c r="C17" s="17"/>
      <c r="D17" s="16">
        <v>2217.04</v>
      </c>
    </row>
    <row r="18" spans="2:4">
      <c r="B18" s="15" t="s">
        <v>17</v>
      </c>
      <c r="C18" s="17"/>
      <c r="D18" s="16">
        <v>-256.18</v>
      </c>
    </row>
    <row r="19" spans="2:4">
      <c r="B19" s="15" t="s">
        <v>18</v>
      </c>
      <c r="C19" s="17"/>
      <c r="D19" s="16">
        <v>-73.96</v>
      </c>
    </row>
    <row r="20" spans="2:4">
      <c r="B20" s="15" t="s">
        <v>19</v>
      </c>
      <c r="C20" s="17"/>
      <c r="D20" s="16">
        <v>28872.37</v>
      </c>
    </row>
    <row r="21" spans="2:4">
      <c r="B21" s="15" t="s">
        <v>20</v>
      </c>
      <c r="C21" s="17"/>
      <c r="D21" s="16">
        <v>2765.24</v>
      </c>
    </row>
    <row r="22" spans="2:4">
      <c r="B22" s="15" t="s">
        <v>21</v>
      </c>
      <c r="C22" s="17"/>
      <c r="D22" s="16">
        <v>334.009999999998</v>
      </c>
    </row>
    <row r="23" spans="2:4">
      <c r="B23" s="15" t="s">
        <v>22</v>
      </c>
      <c r="C23" s="17"/>
      <c r="D23" s="16">
        <v>-1000</v>
      </c>
    </row>
    <row r="24" spans="2:4">
      <c r="B24" s="15" t="s">
        <v>23</v>
      </c>
      <c r="C24" s="17"/>
      <c r="D24" s="16">
        <v>-1000</v>
      </c>
    </row>
    <row r="25" spans="2:4">
      <c r="B25" s="15" t="s">
        <v>24</v>
      </c>
      <c r="C25" s="17"/>
      <c r="D25" s="16">
        <v>-1000</v>
      </c>
    </row>
    <row r="26" spans="2:4">
      <c r="B26" s="15" t="s">
        <v>25</v>
      </c>
      <c r="C26" s="17"/>
      <c r="D26" s="16">
        <v>-1000</v>
      </c>
    </row>
    <row r="27" spans="2:4">
      <c r="B27" s="15" t="s">
        <v>26</v>
      </c>
      <c r="C27" s="17"/>
      <c r="D27" s="16">
        <v>0</v>
      </c>
    </row>
    <row r="28" spans="2:4">
      <c r="B28" s="15" t="s">
        <v>27</v>
      </c>
      <c r="C28" s="17"/>
      <c r="D28" s="16">
        <v>163.750000000004</v>
      </c>
    </row>
    <row r="29" spans="2:4">
      <c r="B29" s="15" t="s">
        <v>28</v>
      </c>
      <c r="C29" s="17"/>
      <c r="D29" s="16">
        <v>1192.47</v>
      </c>
    </row>
    <row r="30" spans="2:4">
      <c r="B30" s="15" t="s">
        <v>29</v>
      </c>
      <c r="C30" s="17"/>
      <c r="D30" s="16">
        <v>1009.09</v>
      </c>
    </row>
    <row r="31" spans="2:4">
      <c r="B31" s="15" t="s">
        <v>30</v>
      </c>
      <c r="C31" s="17"/>
      <c r="D31" s="16">
        <v>957.85</v>
      </c>
    </row>
    <row r="32" spans="2:4">
      <c r="B32" s="15" t="s">
        <v>31</v>
      </c>
      <c r="C32" s="17"/>
      <c r="D32" s="16">
        <v>1118.38</v>
      </c>
    </row>
    <row r="33" spans="2:4">
      <c r="B33" s="15" t="s">
        <v>32</v>
      </c>
      <c r="C33" s="17"/>
      <c r="D33" s="16">
        <v>28.239999999998</v>
      </c>
    </row>
    <row r="34" spans="2:4">
      <c r="B34" s="15" t="s">
        <v>33</v>
      </c>
      <c r="C34" s="17"/>
      <c r="D34" s="16">
        <v>82.5800000000018</v>
      </c>
    </row>
    <row r="35" spans="2:4">
      <c r="B35" s="15" t="s">
        <v>34</v>
      </c>
      <c r="C35" s="17"/>
      <c r="D35" s="16">
        <v>15.6999999999998</v>
      </c>
    </row>
    <row r="36" spans="2:4">
      <c r="B36" s="15" t="s">
        <v>35</v>
      </c>
      <c r="C36" s="17"/>
      <c r="D36" s="16">
        <v>263.209999999963</v>
      </c>
    </row>
    <row r="37" spans="2:4">
      <c r="B37" s="15" t="s">
        <v>36</v>
      </c>
      <c r="C37" s="17"/>
      <c r="D37" s="16">
        <v>36.5</v>
      </c>
    </row>
    <row r="38" spans="2:4">
      <c r="B38" s="15" t="s">
        <v>37</v>
      </c>
      <c r="C38" s="17"/>
      <c r="D38" s="16">
        <v>-655.47000000003</v>
      </c>
    </row>
    <row r="39" spans="2:4">
      <c r="B39" s="15" t="s">
        <v>38</v>
      </c>
      <c r="C39" s="17"/>
      <c r="D39" s="16">
        <v>1287.75</v>
      </c>
    </row>
    <row r="40" spans="2:4">
      <c r="B40" s="15" t="s">
        <v>39</v>
      </c>
      <c r="C40" s="17"/>
      <c r="D40" s="16">
        <v>-26344.04</v>
      </c>
    </row>
    <row r="41" spans="2:4">
      <c r="B41" s="15" t="s">
        <v>40</v>
      </c>
      <c r="C41" s="17"/>
      <c r="D41" s="16">
        <v>37384.5900000001</v>
      </c>
    </row>
    <row r="42" spans="2:4">
      <c r="B42" s="15" t="s">
        <v>41</v>
      </c>
      <c r="C42" s="17"/>
      <c r="D42" s="16">
        <v>5952.92999999999</v>
      </c>
    </row>
    <row r="43" spans="2:4">
      <c r="B43" s="15" t="s">
        <v>42</v>
      </c>
      <c r="C43" s="17"/>
      <c r="D43" s="16">
        <v>-3445</v>
      </c>
    </row>
    <row r="44" spans="2:4">
      <c r="B44" s="15" t="s">
        <v>43</v>
      </c>
      <c r="C44" s="17"/>
      <c r="D44" s="16">
        <v>-102265.12</v>
      </c>
    </row>
    <row r="45" spans="2:4">
      <c r="B45" s="15" t="s">
        <v>44</v>
      </c>
      <c r="C45" s="17"/>
      <c r="D45" s="16">
        <v>-725</v>
      </c>
    </row>
    <row r="46" spans="2:4">
      <c r="B46" s="15" t="s">
        <v>45</v>
      </c>
      <c r="C46" s="17"/>
      <c r="D46" s="16">
        <v>-25061.42</v>
      </c>
    </row>
    <row r="47" spans="2:4">
      <c r="B47" s="15" t="s">
        <v>46</v>
      </c>
      <c r="C47" s="17"/>
      <c r="D47" s="16">
        <v>-36461.31</v>
      </c>
    </row>
    <row r="48" spans="2:4">
      <c r="B48" s="15" t="s">
        <v>47</v>
      </c>
      <c r="C48" s="17"/>
      <c r="D48" s="16">
        <v>-110</v>
      </c>
    </row>
    <row r="49" spans="2:4">
      <c r="B49" s="15" t="s">
        <v>48</v>
      </c>
      <c r="C49" s="17"/>
      <c r="D49" s="16">
        <v>68428.14</v>
      </c>
    </row>
    <row r="50" spans="2:4">
      <c r="B50" s="15" t="s">
        <v>49</v>
      </c>
      <c r="C50" s="17"/>
      <c r="D50" s="16">
        <v>-44845.55</v>
      </c>
    </row>
    <row r="51" spans="2:4">
      <c r="B51" s="15" t="s">
        <v>50</v>
      </c>
      <c r="C51" s="17"/>
      <c r="D51" s="16">
        <v>114847.52</v>
      </c>
    </row>
    <row r="52" spans="2:4">
      <c r="B52" s="15" t="s">
        <v>51</v>
      </c>
      <c r="C52" s="17"/>
      <c r="D52" s="16">
        <v>1773.24</v>
      </c>
    </row>
    <row r="53" spans="2:4">
      <c r="B53" s="15" t="s">
        <v>52</v>
      </c>
      <c r="C53" s="17"/>
      <c r="D53" s="16">
        <v>-590.189999999999</v>
      </c>
    </row>
    <row r="54" spans="2:4">
      <c r="B54" s="15" t="s">
        <v>53</v>
      </c>
      <c r="C54" s="17"/>
      <c r="D54" s="16">
        <v>722.190000000002</v>
      </c>
    </row>
    <row r="55" spans="2:4">
      <c r="B55" s="15" t="s">
        <v>54</v>
      </c>
      <c r="C55" s="17"/>
      <c r="D55" s="16">
        <v>872.770000000019</v>
      </c>
    </row>
    <row r="56" spans="2:4">
      <c r="B56" s="15" t="s">
        <v>55</v>
      </c>
      <c r="C56" s="17"/>
      <c r="D56" s="16">
        <v>281138.62</v>
      </c>
    </row>
    <row r="57" spans="2:4">
      <c r="B57" s="15" t="s">
        <v>56</v>
      </c>
      <c r="C57" s="17"/>
      <c r="D57" s="16">
        <v>0</v>
      </c>
    </row>
    <row r="58" spans="2:4">
      <c r="B58" s="15" t="s">
        <v>57</v>
      </c>
      <c r="C58" s="17"/>
      <c r="D58" s="16">
        <v>4340.56</v>
      </c>
    </row>
    <row r="59" spans="2:4">
      <c r="B59" s="15" t="s">
        <v>58</v>
      </c>
      <c r="C59" s="17"/>
      <c r="D59" s="16">
        <v>-28788.86</v>
      </c>
    </row>
    <row r="60" spans="2:4">
      <c r="B60" s="15" t="s">
        <v>59</v>
      </c>
      <c r="C60" s="17"/>
      <c r="D60" s="16">
        <v>689.270000000004</v>
      </c>
    </row>
    <row r="61" spans="2:4">
      <c r="B61" s="15" t="s">
        <v>60</v>
      </c>
      <c r="C61" s="17"/>
      <c r="D61" s="16">
        <v>-756.62</v>
      </c>
    </row>
    <row r="62" spans="2:4">
      <c r="B62" s="15" t="s">
        <v>61</v>
      </c>
      <c r="C62" s="17"/>
      <c r="D62" s="16">
        <v>3906.45000000001</v>
      </c>
    </row>
    <row r="63" spans="2:4">
      <c r="B63" s="15" t="s">
        <v>62</v>
      </c>
      <c r="C63" s="17"/>
      <c r="D63" s="16">
        <v>91.5799999999999</v>
      </c>
    </row>
    <row r="64" spans="2:4">
      <c r="B64" s="15" t="s">
        <v>63</v>
      </c>
      <c r="C64" s="17"/>
      <c r="D64" s="16">
        <v>2595.65000000001</v>
      </c>
    </row>
    <row r="65" spans="2:4">
      <c r="B65" s="15" t="s">
        <v>64</v>
      </c>
      <c r="C65" s="17"/>
      <c r="D65" s="16">
        <v>146.98</v>
      </c>
    </row>
    <row r="66" spans="2:4">
      <c r="B66" s="15" t="s">
        <v>65</v>
      </c>
      <c r="C66" s="17"/>
      <c r="D66" s="16">
        <v>551.339999999997</v>
      </c>
    </row>
    <row r="67" spans="2:4">
      <c r="B67" s="15" t="s">
        <v>66</v>
      </c>
      <c r="C67" s="17"/>
      <c r="D67" s="16">
        <v>841.540000000001</v>
      </c>
    </row>
    <row r="68" spans="2:4">
      <c r="B68" s="15" t="s">
        <v>67</v>
      </c>
      <c r="C68" s="17"/>
      <c r="D68" s="16">
        <v>2349.76999999999</v>
      </c>
    </row>
    <row r="69" spans="2:4">
      <c r="B69" s="15" t="s">
        <v>68</v>
      </c>
      <c r="C69" s="17"/>
      <c r="D69" s="16">
        <v>107.690000000001</v>
      </c>
    </row>
    <row r="70" spans="2:4">
      <c r="B70" s="15" t="s">
        <v>69</v>
      </c>
      <c r="C70" s="17"/>
      <c r="D70" s="16">
        <v>1877.78</v>
      </c>
    </row>
    <row r="71" spans="2:4">
      <c r="B71" s="15" t="s">
        <v>70</v>
      </c>
      <c r="C71" s="17"/>
      <c r="D71" s="16">
        <v>376.17</v>
      </c>
    </row>
    <row r="72" spans="2:4">
      <c r="B72" s="15" t="s">
        <v>71</v>
      </c>
      <c r="C72" s="17"/>
      <c r="D72" s="16">
        <v>10998.74</v>
      </c>
    </row>
    <row r="73" spans="2:4">
      <c r="B73" s="15" t="s">
        <v>72</v>
      </c>
      <c r="C73" s="17"/>
      <c r="D73" s="16">
        <v>186.889999999999</v>
      </c>
    </row>
    <row r="74" spans="2:4">
      <c r="B74" s="15" t="s">
        <v>73</v>
      </c>
      <c r="C74" s="17"/>
      <c r="D74" s="16">
        <v>486.43</v>
      </c>
    </row>
    <row r="75" spans="2:4">
      <c r="B75" s="15" t="s">
        <v>74</v>
      </c>
      <c r="C75" s="17"/>
      <c r="D75" s="16">
        <v>-8438.19</v>
      </c>
    </row>
    <row r="76" spans="2:4">
      <c r="B76" s="15" t="s">
        <v>75</v>
      </c>
      <c r="C76" s="17"/>
      <c r="D76" s="16">
        <v>11.1399999999999</v>
      </c>
    </row>
    <row r="77" spans="2:4">
      <c r="B77" s="15" t="s">
        <v>76</v>
      </c>
      <c r="C77" s="17"/>
      <c r="D77" s="16">
        <v>380.030000000001</v>
      </c>
    </row>
    <row r="78" spans="2:4">
      <c r="B78" s="15" t="s">
        <v>77</v>
      </c>
      <c r="C78" s="17"/>
      <c r="D78" s="16">
        <v>-66443.83</v>
      </c>
    </row>
    <row r="79" spans="2:4">
      <c r="B79" s="15" t="s">
        <v>78</v>
      </c>
      <c r="C79" s="17"/>
      <c r="D79" s="16">
        <v>36071.96</v>
      </c>
    </row>
    <row r="80" spans="2:4">
      <c r="B80" s="15" t="s">
        <v>79</v>
      </c>
      <c r="C80" s="17"/>
      <c r="D80" s="16">
        <v>-2170</v>
      </c>
    </row>
    <row r="81" spans="2:4">
      <c r="B81" s="15" t="s">
        <v>80</v>
      </c>
      <c r="C81" s="17"/>
      <c r="D81" s="16">
        <v>-16250</v>
      </c>
    </row>
    <row r="82" spans="2:4">
      <c r="B82" s="15" t="s">
        <v>81</v>
      </c>
      <c r="C82" s="17"/>
      <c r="D82" s="16">
        <v>0</v>
      </c>
    </row>
    <row r="83" spans="2:4">
      <c r="B83" s="18"/>
      <c r="C83" s="19" t="s">
        <v>82</v>
      </c>
      <c r="D83" s="20">
        <v>0</v>
      </c>
    </row>
    <row r="84" spans="2:4">
      <c r="B84" s="18" t="s">
        <v>83</v>
      </c>
      <c r="C84" s="19"/>
      <c r="D84" s="20">
        <v>-11537.7600000119</v>
      </c>
    </row>
    <row r="85" spans="2:4">
      <c r="B85" s="18"/>
      <c r="C85" s="19" t="s">
        <v>84</v>
      </c>
      <c r="D85" s="20">
        <v>1936.9</v>
      </c>
    </row>
    <row r="86" spans="2:4">
      <c r="B86" s="18"/>
      <c r="C86" s="19" t="s">
        <v>85</v>
      </c>
      <c r="D86" s="20">
        <v>-2918347.5</v>
      </c>
    </row>
    <row r="87" spans="2:4">
      <c r="B87" s="18"/>
      <c r="C87" s="19" t="s">
        <v>86</v>
      </c>
      <c r="D87" s="20">
        <v>2467809.83999999</v>
      </c>
    </row>
    <row r="88" spans="2:4">
      <c r="B88" s="18"/>
      <c r="C88" s="19" t="s">
        <v>87</v>
      </c>
      <c r="D88" s="20">
        <v>437063</v>
      </c>
    </row>
    <row r="89" spans="2:4">
      <c r="B89" s="18" t="s">
        <v>88</v>
      </c>
      <c r="C89" s="19"/>
      <c r="D89" s="20">
        <v>240211.98</v>
      </c>
    </row>
    <row r="90" spans="2:4">
      <c r="B90" s="18"/>
      <c r="C90" s="19" t="s">
        <v>89</v>
      </c>
      <c r="D90" s="20">
        <v>212.48</v>
      </c>
    </row>
    <row r="91" spans="2:4">
      <c r="B91" s="18"/>
      <c r="C91" s="19" t="s">
        <v>90</v>
      </c>
      <c r="D91" s="20">
        <v>1282206.08</v>
      </c>
    </row>
    <row r="92" spans="2:4">
      <c r="B92" s="18"/>
      <c r="C92" s="19" t="s">
        <v>91</v>
      </c>
      <c r="D92" s="20">
        <v>-1042202.12</v>
      </c>
    </row>
    <row r="93" spans="2:4">
      <c r="B93" s="18"/>
      <c r="C93" s="19" t="s">
        <v>92</v>
      </c>
      <c r="D93" s="20">
        <v>-4.46</v>
      </c>
    </row>
    <row r="94" spans="2:4">
      <c r="B94" s="18"/>
      <c r="C94" s="19" t="s">
        <v>88</v>
      </c>
      <c r="D94" s="20"/>
    </row>
    <row r="95" spans="2:4">
      <c r="B95" s="15" t="s">
        <v>93</v>
      </c>
      <c r="C95" s="17"/>
      <c r="D95" s="16">
        <v>-131802.03</v>
      </c>
    </row>
    <row r="96" spans="2:4">
      <c r="B96" s="15"/>
      <c r="C96" s="17"/>
      <c r="D96" s="16">
        <v>-4031.3</v>
      </c>
    </row>
    <row r="97" spans="2:4">
      <c r="B97" s="18"/>
      <c r="C97" s="19" t="s">
        <v>89</v>
      </c>
      <c r="D97" s="20">
        <v>0.74</v>
      </c>
    </row>
    <row r="98" spans="2:4">
      <c r="B98" s="18"/>
      <c r="C98" s="19" t="s">
        <v>90</v>
      </c>
      <c r="D98" s="20">
        <v>26000</v>
      </c>
    </row>
    <row r="99" spans="2:4">
      <c r="B99" s="18"/>
      <c r="C99" s="19" t="s">
        <v>91</v>
      </c>
      <c r="D99" s="20">
        <v>-30000</v>
      </c>
    </row>
    <row r="100" spans="2:4">
      <c r="B100" s="18"/>
      <c r="C100" s="19" t="s">
        <v>92</v>
      </c>
      <c r="D100" s="20">
        <v>-29.1100000000001</v>
      </c>
    </row>
    <row r="101" spans="2:4">
      <c r="B101" s="18"/>
      <c r="C101" s="19" t="s">
        <v>94</v>
      </c>
      <c r="D101" s="20">
        <v>-2.93</v>
      </c>
    </row>
    <row r="102" spans="2:4">
      <c r="B102" s="15" t="s">
        <v>95</v>
      </c>
      <c r="C102" s="17"/>
      <c r="D102" s="16">
        <v>679.7</v>
      </c>
    </row>
    <row r="103" spans="2:4">
      <c r="B103" s="15" t="s">
        <v>96</v>
      </c>
      <c r="C103" s="17"/>
      <c r="D103" s="16">
        <v>1855.85</v>
      </c>
    </row>
    <row r="104" spans="2:4">
      <c r="B104" s="15" t="s">
        <v>97</v>
      </c>
      <c r="C104" s="17"/>
      <c r="D104" s="16">
        <v>4537.31</v>
      </c>
    </row>
    <row r="105" spans="2:4">
      <c r="B105" s="15" t="s">
        <v>98</v>
      </c>
      <c r="C105" s="17"/>
      <c r="D105" s="16">
        <v>644.189999999999</v>
      </c>
    </row>
    <row r="106" spans="2:4">
      <c r="B106" s="15" t="s">
        <v>99</v>
      </c>
      <c r="C106" s="17"/>
      <c r="D106" s="16">
        <v>455.799999999999</v>
      </c>
    </row>
    <row r="107" spans="2:4">
      <c r="B107" s="15" t="s">
        <v>100</v>
      </c>
      <c r="C107" s="17"/>
      <c r="D107" s="16">
        <v>-1109.23</v>
      </c>
    </row>
    <row r="108" spans="2:4">
      <c r="B108" s="15" t="s">
        <v>101</v>
      </c>
      <c r="C108" s="17"/>
      <c r="D108" s="16">
        <v>-22069</v>
      </c>
    </row>
    <row r="109" spans="2:4">
      <c r="B109" s="15" t="s">
        <v>102</v>
      </c>
      <c r="C109" s="17"/>
      <c r="D109" s="16">
        <v>0</v>
      </c>
    </row>
    <row r="110" spans="2:4">
      <c r="B110" s="15" t="s">
        <v>103</v>
      </c>
      <c r="C110" s="17"/>
      <c r="D110" s="16">
        <v>1306.9</v>
      </c>
    </row>
    <row r="111" spans="2:4">
      <c r="B111" s="15" t="s">
        <v>104</v>
      </c>
      <c r="C111" s="17"/>
      <c r="D111" s="16">
        <v>-30030</v>
      </c>
    </row>
    <row r="112" spans="2:4">
      <c r="B112" s="15" t="s">
        <v>105</v>
      </c>
      <c r="C112" s="17"/>
      <c r="D112" s="16">
        <v>45454.93</v>
      </c>
    </row>
    <row r="113" spans="2:4">
      <c r="B113" s="21" t="s">
        <v>106</v>
      </c>
      <c r="C113" s="22"/>
      <c r="D113" s="23">
        <v>-1326.19000001161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08"/>
  <sheetViews>
    <sheetView tabSelected="1" workbookViewId="0">
      <pane ySplit="1" topLeftCell="A2" activePane="bottomLeft" state="frozen"/>
      <selection/>
      <selection pane="bottomLeft" activeCell="P26" sqref="P26"/>
    </sheetView>
  </sheetViews>
  <sheetFormatPr defaultColWidth="9" defaultRowHeight="13.5"/>
  <cols>
    <col min="3" max="3" width="16.75" customWidth="1"/>
    <col min="5" max="5" width="13.8583333333333" customWidth="1"/>
    <col min="8" max="8" width="10.375"/>
    <col min="9" max="9" width="12.625" style="10"/>
    <col min="10" max="10" width="11.5083333333333"/>
  </cols>
  <sheetData>
    <row r="1" spans="1:11">
      <c r="A1" s="8" t="str">
        <f>"成交日期"</f>
        <v>成交日期</v>
      </c>
      <c r="B1" s="8" t="str">
        <f>"委托日期"</f>
        <v>委托日期</v>
      </c>
      <c r="C1" s="8" t="str">
        <f>"业务类型"</f>
        <v>业务类型</v>
      </c>
      <c r="D1" s="8" t="str">
        <f>"证券代码"</f>
        <v>证券代码</v>
      </c>
      <c r="E1" s="8" t="str">
        <f>"证券名称"</f>
        <v>证券名称</v>
      </c>
      <c r="F1" s="8" t="str">
        <f>"成交价格"</f>
        <v>成交价格</v>
      </c>
      <c r="G1" s="8" t="str">
        <f>"成交数量"</f>
        <v>成交数量</v>
      </c>
      <c r="H1" s="8" t="str">
        <f>"成交金额"</f>
        <v>成交金额</v>
      </c>
      <c r="I1" s="11" t="str">
        <f>"发生金额"</f>
        <v>发生金额</v>
      </c>
      <c r="J1" s="8" t="str">
        <f>"资金余额"</f>
        <v>资金余额</v>
      </c>
      <c r="K1" s="8" t="str">
        <f>"当前持仓"</f>
        <v>当前持仓</v>
      </c>
    </row>
    <row r="2" spans="1:11">
      <c r="A2" s="8" t="str">
        <f>"20110708"</f>
        <v>20110708</v>
      </c>
      <c r="B2" s="8" t="str">
        <f>"20110708"</f>
        <v>20110708</v>
      </c>
      <c r="C2" s="8" t="str">
        <f>"指定交易"</f>
        <v>指定交易</v>
      </c>
      <c r="D2" s="8" t="str">
        <f>"799999"</f>
        <v>799999</v>
      </c>
      <c r="E2" s="8" t="str">
        <f>"登记指定"</f>
        <v>登记指定</v>
      </c>
      <c r="F2" s="8">
        <v>0</v>
      </c>
      <c r="G2" s="8">
        <v>0</v>
      </c>
      <c r="H2" s="8">
        <v>0</v>
      </c>
      <c r="I2" s="11">
        <v>0</v>
      </c>
      <c r="J2" s="8">
        <v>0</v>
      </c>
      <c r="K2" s="8">
        <v>0</v>
      </c>
    </row>
    <row r="3" spans="1:11">
      <c r="A3" s="8" t="str">
        <f>"20110711"</f>
        <v>20110711</v>
      </c>
      <c r="B3" s="8" t="str">
        <f>"20110711"</f>
        <v>20110711</v>
      </c>
      <c r="C3" s="8" t="str">
        <f>"银行转证券"</f>
        <v>银行转证券</v>
      </c>
      <c r="D3" s="8"/>
      <c r="E3" s="8"/>
      <c r="F3" s="8">
        <v>0</v>
      </c>
      <c r="G3" s="8">
        <v>0</v>
      </c>
      <c r="H3" s="8">
        <v>0</v>
      </c>
      <c r="I3" s="11">
        <v>5000</v>
      </c>
      <c r="J3" s="8">
        <v>5000</v>
      </c>
      <c r="K3" s="8">
        <v>0</v>
      </c>
    </row>
    <row r="4" spans="1:11">
      <c r="A4" s="8" t="str">
        <f>"20110714"</f>
        <v>20110714</v>
      </c>
      <c r="B4" s="8" t="str">
        <f>"20110714"</f>
        <v>20110714</v>
      </c>
      <c r="C4" s="8" t="str">
        <f>"证券买入"</f>
        <v>证券买入</v>
      </c>
      <c r="D4" s="8" t="str">
        <f t="shared" ref="D4:D9" si="0">"600664"</f>
        <v>600664</v>
      </c>
      <c r="E4" s="8" t="str">
        <f t="shared" ref="E4:E9" si="1">"哈药股份"</f>
        <v>哈药股份</v>
      </c>
      <c r="F4" s="8">
        <v>16.38</v>
      </c>
      <c r="G4" s="8">
        <v>300</v>
      </c>
      <c r="H4" s="8">
        <v>4914</v>
      </c>
      <c r="I4" s="11">
        <v>-4920.41</v>
      </c>
      <c r="J4" s="8">
        <v>79.59</v>
      </c>
      <c r="K4" s="8">
        <v>300</v>
      </c>
    </row>
    <row r="5" spans="1:11">
      <c r="A5" s="8" t="str">
        <f>"20110718"</f>
        <v>20110718</v>
      </c>
      <c r="B5" s="8" t="str">
        <f>"20110718"</f>
        <v>20110718</v>
      </c>
      <c r="C5" s="8" t="str">
        <f>"证券卖出"</f>
        <v>证券卖出</v>
      </c>
      <c r="D5" s="8" t="str">
        <f t="shared" si="0"/>
        <v>600664</v>
      </c>
      <c r="E5" s="8" t="str">
        <f t="shared" si="1"/>
        <v>哈药股份</v>
      </c>
      <c r="F5" s="8">
        <v>17.18</v>
      </c>
      <c r="G5" s="8">
        <v>300</v>
      </c>
      <c r="H5" s="8">
        <v>5154</v>
      </c>
      <c r="I5" s="11">
        <v>5142.18</v>
      </c>
      <c r="J5" s="8">
        <v>5221.77</v>
      </c>
      <c r="K5" s="8">
        <v>0</v>
      </c>
    </row>
    <row r="6" spans="1:11">
      <c r="A6" s="8" t="str">
        <f>"20110725"</f>
        <v>20110725</v>
      </c>
      <c r="B6" s="8" t="str">
        <f>"20110725"</f>
        <v>20110725</v>
      </c>
      <c r="C6" s="8" t="str">
        <f>"证券转银行"</f>
        <v>证券转银行</v>
      </c>
      <c r="D6" s="8"/>
      <c r="E6" s="8"/>
      <c r="F6" s="8">
        <v>0</v>
      </c>
      <c r="G6" s="8">
        <v>0</v>
      </c>
      <c r="H6" s="8">
        <v>0</v>
      </c>
      <c r="I6" s="11">
        <v>-5000</v>
      </c>
      <c r="J6" s="8">
        <v>221.77</v>
      </c>
      <c r="K6" s="8">
        <v>0</v>
      </c>
    </row>
    <row r="7" spans="1:11">
      <c r="A7" s="8" t="str">
        <f>"20110805"</f>
        <v>20110805</v>
      </c>
      <c r="B7" s="8" t="str">
        <f>"20110805"</f>
        <v>20110805</v>
      </c>
      <c r="C7" s="8" t="str">
        <f>"银行转证券"</f>
        <v>银行转证券</v>
      </c>
      <c r="D7" s="8"/>
      <c r="E7" s="8"/>
      <c r="F7" s="8">
        <v>0</v>
      </c>
      <c r="G7" s="8">
        <v>0</v>
      </c>
      <c r="H7" s="8">
        <v>0</v>
      </c>
      <c r="I7" s="11">
        <v>4778.23</v>
      </c>
      <c r="J7" s="8">
        <v>5000</v>
      </c>
      <c r="K7" s="8">
        <v>0</v>
      </c>
    </row>
    <row r="8" spans="1:11">
      <c r="A8" s="8" t="str">
        <f>"20110810"</f>
        <v>20110810</v>
      </c>
      <c r="B8" s="8" t="str">
        <f>"20110810"</f>
        <v>20110810</v>
      </c>
      <c r="C8" s="8" t="str">
        <f t="shared" ref="C8:C12" si="2">"证券买入"</f>
        <v>证券买入</v>
      </c>
      <c r="D8" s="8" t="str">
        <f t="shared" si="0"/>
        <v>600664</v>
      </c>
      <c r="E8" s="8" t="str">
        <f t="shared" si="1"/>
        <v>哈药股份</v>
      </c>
      <c r="F8" s="8">
        <v>10.62</v>
      </c>
      <c r="G8" s="8">
        <v>300</v>
      </c>
      <c r="H8" s="8">
        <v>3186</v>
      </c>
      <c r="I8" s="11">
        <v>-3192</v>
      </c>
      <c r="J8" s="8">
        <v>1808</v>
      </c>
      <c r="K8" s="8">
        <v>300</v>
      </c>
    </row>
    <row r="9" spans="1:11">
      <c r="A9" s="8" t="str">
        <f>"20110811"</f>
        <v>20110811</v>
      </c>
      <c r="B9" s="8" t="str">
        <f>"20110811"</f>
        <v>20110811</v>
      </c>
      <c r="C9" s="8" t="str">
        <f t="shared" ref="C9:C13" si="3">"证券卖出"</f>
        <v>证券卖出</v>
      </c>
      <c r="D9" s="8" t="str">
        <f t="shared" si="0"/>
        <v>600664</v>
      </c>
      <c r="E9" s="8" t="str">
        <f t="shared" si="1"/>
        <v>哈药股份</v>
      </c>
      <c r="F9" s="8">
        <v>10.29</v>
      </c>
      <c r="G9" s="8">
        <v>300</v>
      </c>
      <c r="H9" s="8">
        <v>3087</v>
      </c>
      <c r="I9" s="11">
        <v>3077.92</v>
      </c>
      <c r="J9" s="8">
        <v>4885.92</v>
      </c>
      <c r="K9" s="8">
        <v>0</v>
      </c>
    </row>
    <row r="10" spans="1:11">
      <c r="A10" s="8" t="str">
        <f>"20110811"</f>
        <v>20110811</v>
      </c>
      <c r="B10" s="8" t="str">
        <f>"20110811"</f>
        <v>20110811</v>
      </c>
      <c r="C10" s="8" t="str">
        <f t="shared" si="2"/>
        <v>证券买入</v>
      </c>
      <c r="D10" s="8" t="str">
        <f t="shared" ref="D10:D13" si="4">"600829"</f>
        <v>600829</v>
      </c>
      <c r="E10" s="8" t="str">
        <f t="shared" ref="E10:E13" si="5">"三精制药"</f>
        <v>三精制药</v>
      </c>
      <c r="F10" s="8">
        <v>11.88</v>
      </c>
      <c r="G10" s="8">
        <v>400</v>
      </c>
      <c r="H10" s="8">
        <v>4752</v>
      </c>
      <c r="I10" s="11">
        <v>-4758.23</v>
      </c>
      <c r="J10" s="8">
        <v>127.69</v>
      </c>
      <c r="K10" s="8">
        <v>400</v>
      </c>
    </row>
    <row r="11" spans="1:11">
      <c r="A11" s="8" t="str">
        <f>"20110812"</f>
        <v>20110812</v>
      </c>
      <c r="B11" s="8" t="str">
        <f>"20110812"</f>
        <v>20110812</v>
      </c>
      <c r="C11" s="8" t="str">
        <f t="shared" si="3"/>
        <v>证券卖出</v>
      </c>
      <c r="D11" s="8" t="str">
        <f t="shared" si="4"/>
        <v>600829</v>
      </c>
      <c r="E11" s="8" t="str">
        <f t="shared" si="5"/>
        <v>三精制药</v>
      </c>
      <c r="F11" s="8">
        <v>12.35</v>
      </c>
      <c r="G11" s="8">
        <v>400</v>
      </c>
      <c r="H11" s="8">
        <v>4940</v>
      </c>
      <c r="I11" s="11">
        <v>4928.63</v>
      </c>
      <c r="J11" s="8">
        <v>5056.32</v>
      </c>
      <c r="K11" s="8">
        <v>0</v>
      </c>
    </row>
    <row r="12" spans="1:11">
      <c r="A12" s="8" t="str">
        <f>"20110818"</f>
        <v>20110818</v>
      </c>
      <c r="B12" s="8" t="str">
        <f>"20110818"</f>
        <v>20110818</v>
      </c>
      <c r="C12" s="8" t="str">
        <f t="shared" si="2"/>
        <v>证券买入</v>
      </c>
      <c r="D12" s="8" t="str">
        <f t="shared" si="4"/>
        <v>600829</v>
      </c>
      <c r="E12" s="8" t="str">
        <f t="shared" si="5"/>
        <v>三精制药</v>
      </c>
      <c r="F12" s="8">
        <v>11.88</v>
      </c>
      <c r="G12" s="8">
        <v>400</v>
      </c>
      <c r="H12" s="8">
        <v>4752</v>
      </c>
      <c r="I12" s="11">
        <v>-4758.23</v>
      </c>
      <c r="J12" s="8">
        <v>298.09</v>
      </c>
      <c r="K12" s="8">
        <v>400</v>
      </c>
    </row>
    <row r="13" spans="1:11">
      <c r="A13" s="8" t="str">
        <f>"20110823"</f>
        <v>20110823</v>
      </c>
      <c r="B13" s="8" t="str">
        <f>"20110823"</f>
        <v>20110823</v>
      </c>
      <c r="C13" s="8" t="str">
        <f t="shared" si="3"/>
        <v>证券卖出</v>
      </c>
      <c r="D13" s="8" t="str">
        <f t="shared" si="4"/>
        <v>600829</v>
      </c>
      <c r="E13" s="8" t="str">
        <f t="shared" si="5"/>
        <v>三精制药</v>
      </c>
      <c r="F13" s="8">
        <v>12.01</v>
      </c>
      <c r="G13" s="8">
        <v>400</v>
      </c>
      <c r="H13" s="8">
        <v>4804</v>
      </c>
      <c r="I13" s="11">
        <v>4792.92</v>
      </c>
      <c r="J13" s="8">
        <v>5091.01</v>
      </c>
      <c r="K13" s="8">
        <v>0</v>
      </c>
    </row>
    <row r="14" spans="1:11">
      <c r="A14" s="8" t="str">
        <f>"20110826"</f>
        <v>20110826</v>
      </c>
      <c r="B14" s="8" t="str">
        <f>"20110826"</f>
        <v>20110826</v>
      </c>
      <c r="C14" s="8" t="str">
        <f>"证券买入"</f>
        <v>证券买入</v>
      </c>
      <c r="D14" s="8" t="str">
        <f>"002500"</f>
        <v>002500</v>
      </c>
      <c r="E14" s="8" t="str">
        <f>"山西证券"</f>
        <v>山西证券</v>
      </c>
      <c r="F14" s="8">
        <v>8.5</v>
      </c>
      <c r="G14" s="8">
        <v>500</v>
      </c>
      <c r="H14" s="8">
        <v>4250</v>
      </c>
      <c r="I14" s="11">
        <v>-4255</v>
      </c>
      <c r="J14" s="8">
        <v>836.01</v>
      </c>
      <c r="K14" s="8">
        <v>500</v>
      </c>
    </row>
    <row r="15" spans="1:11">
      <c r="A15" s="8" t="str">
        <f>"20110920"</f>
        <v>20110920</v>
      </c>
      <c r="B15" s="8" t="str">
        <f>"20110920"</f>
        <v>20110920</v>
      </c>
      <c r="C15" s="8" t="str">
        <f>"利息归本"</f>
        <v>利息归本</v>
      </c>
      <c r="D15" s="8"/>
      <c r="E15" s="8"/>
      <c r="F15" s="8">
        <v>0</v>
      </c>
      <c r="G15" s="8">
        <v>0</v>
      </c>
      <c r="H15" s="8">
        <v>0</v>
      </c>
      <c r="I15" s="11">
        <v>2.09</v>
      </c>
      <c r="J15" s="8">
        <v>838.1</v>
      </c>
      <c r="K15" s="8">
        <v>0</v>
      </c>
    </row>
    <row r="16" spans="1:11">
      <c r="A16" s="8" t="str">
        <f>"20110921"</f>
        <v>20110921</v>
      </c>
      <c r="B16" s="8" t="str">
        <f>"20110921"</f>
        <v>20110921</v>
      </c>
      <c r="C16" s="8" t="str">
        <f t="shared" ref="C16:C19" si="6">"证券转银行"</f>
        <v>证券转银行</v>
      </c>
      <c r="D16" s="8"/>
      <c r="E16" s="8"/>
      <c r="F16" s="8">
        <v>0</v>
      </c>
      <c r="G16" s="8">
        <v>0</v>
      </c>
      <c r="H16" s="8">
        <v>0</v>
      </c>
      <c r="I16" s="11">
        <v>-72.34</v>
      </c>
      <c r="J16" s="8">
        <v>765.76</v>
      </c>
      <c r="K16" s="8">
        <v>0</v>
      </c>
    </row>
    <row r="17" spans="1:11">
      <c r="A17" s="8" t="str">
        <f>"20110921"</f>
        <v>20110921</v>
      </c>
      <c r="B17" s="8" t="str">
        <f>"20110921"</f>
        <v>20110921</v>
      </c>
      <c r="C17" s="8" t="str">
        <f>"证券卖出"</f>
        <v>证券卖出</v>
      </c>
      <c r="D17" s="8" t="str">
        <f>"002500"</f>
        <v>002500</v>
      </c>
      <c r="E17" s="8" t="str">
        <f>"山西证券"</f>
        <v>山西证券</v>
      </c>
      <c r="F17" s="8">
        <v>9.11</v>
      </c>
      <c r="G17" s="8">
        <v>500</v>
      </c>
      <c r="H17" s="8">
        <v>4555</v>
      </c>
      <c r="I17" s="11">
        <v>4545.43</v>
      </c>
      <c r="J17" s="8">
        <v>5311.19</v>
      </c>
      <c r="K17" s="8">
        <v>0</v>
      </c>
    </row>
    <row r="18" spans="1:11">
      <c r="A18" s="8" t="str">
        <f>"20110922"</f>
        <v>20110922</v>
      </c>
      <c r="B18" s="8" t="str">
        <f>"20110922"</f>
        <v>20110922</v>
      </c>
      <c r="C18" s="8" t="str">
        <f t="shared" si="6"/>
        <v>证券转银行</v>
      </c>
      <c r="D18" s="8"/>
      <c r="E18" s="8"/>
      <c r="F18" s="8">
        <v>0</v>
      </c>
      <c r="G18" s="8">
        <v>0</v>
      </c>
      <c r="H18" s="8">
        <v>0</v>
      </c>
      <c r="I18" s="11">
        <v>-5000</v>
      </c>
      <c r="J18" s="8">
        <v>311.19</v>
      </c>
      <c r="K18" s="8">
        <v>0</v>
      </c>
    </row>
    <row r="19" spans="1:11">
      <c r="A19" s="8" t="str">
        <f>"20110922"</f>
        <v>20110922</v>
      </c>
      <c r="B19" s="8" t="str">
        <f>"20110922"</f>
        <v>20110922</v>
      </c>
      <c r="C19" s="8" t="str">
        <f t="shared" si="6"/>
        <v>证券转银行</v>
      </c>
      <c r="D19" s="8"/>
      <c r="E19" s="8"/>
      <c r="F19" s="8">
        <v>0</v>
      </c>
      <c r="G19" s="8">
        <v>0</v>
      </c>
      <c r="H19" s="8">
        <v>0</v>
      </c>
      <c r="I19" s="11">
        <v>-300</v>
      </c>
      <c r="J19" s="8">
        <v>11.19</v>
      </c>
      <c r="K19" s="8">
        <v>0</v>
      </c>
    </row>
    <row r="20" spans="1:11">
      <c r="A20" s="8" t="str">
        <f>"20111010"</f>
        <v>20111010</v>
      </c>
      <c r="B20" s="8" t="str">
        <f>"20111010"</f>
        <v>20111010</v>
      </c>
      <c r="C20" s="8" t="str">
        <f>"银行转证券"</f>
        <v>银行转证券</v>
      </c>
      <c r="D20" s="8"/>
      <c r="E20" s="8"/>
      <c r="F20" s="8">
        <v>0</v>
      </c>
      <c r="G20" s="8">
        <v>0</v>
      </c>
      <c r="H20" s="8">
        <v>0</v>
      </c>
      <c r="I20" s="11">
        <v>5604.64</v>
      </c>
      <c r="J20" s="8">
        <v>5615.83</v>
      </c>
      <c r="K20" s="8">
        <v>0</v>
      </c>
    </row>
    <row r="21" spans="1:11">
      <c r="A21" s="8" t="str">
        <f>"20111013"</f>
        <v>20111013</v>
      </c>
      <c r="B21" s="8" t="str">
        <f>"20111013"</f>
        <v>20111013</v>
      </c>
      <c r="C21" s="8" t="str">
        <f>"证券买入"</f>
        <v>证券买入</v>
      </c>
      <c r="D21" s="8" t="str">
        <f>"600829"</f>
        <v>600829</v>
      </c>
      <c r="E21" s="8" t="str">
        <f>"三精制药"</f>
        <v>三精制药</v>
      </c>
      <c r="F21" s="8">
        <v>11.34</v>
      </c>
      <c r="G21" s="8">
        <v>400</v>
      </c>
      <c r="H21" s="8">
        <v>4536</v>
      </c>
      <c r="I21" s="11">
        <v>-4542</v>
      </c>
      <c r="J21" s="8">
        <v>1073.83</v>
      </c>
      <c r="K21" s="8">
        <v>400</v>
      </c>
    </row>
    <row r="22" spans="1:11">
      <c r="A22" s="8" t="str">
        <f>"20111014"</f>
        <v>20111014</v>
      </c>
      <c r="B22" s="8" t="str">
        <f>"20111014"</f>
        <v>20111014</v>
      </c>
      <c r="C22" s="8" t="str">
        <f>"证券卖出"</f>
        <v>证券卖出</v>
      </c>
      <c r="D22" s="8" t="str">
        <f>"600829"</f>
        <v>600829</v>
      </c>
      <c r="E22" s="8" t="str">
        <f>"三精制药"</f>
        <v>三精制药</v>
      </c>
      <c r="F22" s="8">
        <v>11.81</v>
      </c>
      <c r="G22" s="8">
        <v>400</v>
      </c>
      <c r="H22" s="8">
        <v>4724</v>
      </c>
      <c r="I22" s="11">
        <v>4713.08</v>
      </c>
      <c r="J22" s="8">
        <v>5786.91</v>
      </c>
      <c r="K22" s="8">
        <v>0</v>
      </c>
    </row>
    <row r="23" spans="1:11">
      <c r="A23" s="8" t="str">
        <f>"20111019"</f>
        <v>20111019</v>
      </c>
      <c r="B23" s="8" t="str">
        <f>"20111019"</f>
        <v>20111019</v>
      </c>
      <c r="C23" s="8" t="str">
        <f>"证券转银行"</f>
        <v>证券转银行</v>
      </c>
      <c r="D23" s="8"/>
      <c r="E23" s="8"/>
      <c r="F23" s="8">
        <v>0</v>
      </c>
      <c r="G23" s="8">
        <v>0</v>
      </c>
      <c r="H23" s="8">
        <v>0</v>
      </c>
      <c r="I23" s="11">
        <v>-5700</v>
      </c>
      <c r="J23" s="8">
        <v>86.91</v>
      </c>
      <c r="K23" s="8">
        <v>0</v>
      </c>
    </row>
    <row r="24" spans="1:11">
      <c r="A24" s="8" t="str">
        <f>"20111101"</f>
        <v>20111101</v>
      </c>
      <c r="B24" s="8" t="str">
        <f>"20111101"</f>
        <v>20111101</v>
      </c>
      <c r="C24" s="8" t="str">
        <f>"银行转证券"</f>
        <v>银行转证券</v>
      </c>
      <c r="D24" s="8"/>
      <c r="E24" s="8"/>
      <c r="F24" s="8">
        <v>0</v>
      </c>
      <c r="G24" s="8">
        <v>0</v>
      </c>
      <c r="H24" s="8">
        <v>0</v>
      </c>
      <c r="I24" s="11">
        <v>5400</v>
      </c>
      <c r="J24" s="8">
        <v>5486.91</v>
      </c>
      <c r="K24" s="8">
        <v>0</v>
      </c>
    </row>
    <row r="25" spans="1:11">
      <c r="A25" s="8" t="str">
        <f>"20111104"</f>
        <v>20111104</v>
      </c>
      <c r="B25" s="8" t="str">
        <f>"20111104"</f>
        <v>20111104</v>
      </c>
      <c r="C25" s="8" t="str">
        <f>"证券转银行"</f>
        <v>证券转银行</v>
      </c>
      <c r="D25" s="8"/>
      <c r="E25" s="8"/>
      <c r="F25" s="8">
        <v>0</v>
      </c>
      <c r="G25" s="8">
        <v>0</v>
      </c>
      <c r="H25" s="8">
        <v>0</v>
      </c>
      <c r="I25" s="11">
        <v>-5486.91</v>
      </c>
      <c r="J25" s="8">
        <v>0</v>
      </c>
      <c r="K25" s="8">
        <v>0</v>
      </c>
    </row>
    <row r="26" spans="1:11">
      <c r="A26" s="8" t="str">
        <f>"20111122"</f>
        <v>20111122</v>
      </c>
      <c r="B26" s="8" t="str">
        <f>"20111122"</f>
        <v>20111122</v>
      </c>
      <c r="C26" s="8" t="str">
        <f>"银行转证券"</f>
        <v>银行转证券</v>
      </c>
      <c r="D26" s="8"/>
      <c r="E26" s="8"/>
      <c r="F26" s="8">
        <v>0</v>
      </c>
      <c r="G26" s="8">
        <v>0</v>
      </c>
      <c r="H26" s="8">
        <v>0</v>
      </c>
      <c r="I26" s="11">
        <v>5491.87</v>
      </c>
      <c r="J26" s="8">
        <v>5491.87</v>
      </c>
      <c r="K26" s="8">
        <v>0</v>
      </c>
    </row>
    <row r="27" spans="1:11">
      <c r="A27" s="8" t="str">
        <f>"20111122"</f>
        <v>20111122</v>
      </c>
      <c r="B27" s="8" t="str">
        <f>"20111122"</f>
        <v>20111122</v>
      </c>
      <c r="C27" s="8" t="str">
        <f>"证券买入"</f>
        <v>证券买入</v>
      </c>
      <c r="D27" s="8" t="str">
        <f>"002500"</f>
        <v>002500</v>
      </c>
      <c r="E27" s="8" t="str">
        <f>"山西证券"</f>
        <v>山西证券</v>
      </c>
      <c r="F27" s="8">
        <v>8.52</v>
      </c>
      <c r="G27" s="8">
        <v>600</v>
      </c>
      <c r="H27" s="8">
        <v>5112</v>
      </c>
      <c r="I27" s="11">
        <v>-5117.62</v>
      </c>
      <c r="J27" s="8">
        <v>374.25</v>
      </c>
      <c r="K27" s="8">
        <v>600</v>
      </c>
    </row>
    <row r="28" spans="1:11">
      <c r="A28" s="8" t="str">
        <f>"20111220"</f>
        <v>20111220</v>
      </c>
      <c r="B28" s="8" t="str">
        <f>"20111220"</f>
        <v>20111220</v>
      </c>
      <c r="C28" s="8" t="str">
        <f>"利息归本"</f>
        <v>利息归本</v>
      </c>
      <c r="D28" s="8"/>
      <c r="E28" s="8"/>
      <c r="F28" s="8">
        <v>0</v>
      </c>
      <c r="G28" s="8">
        <v>0</v>
      </c>
      <c r="H28" s="8">
        <v>0</v>
      </c>
      <c r="I28" s="11">
        <v>1</v>
      </c>
      <c r="J28" s="8">
        <v>375.25</v>
      </c>
      <c r="K28" s="8">
        <v>0</v>
      </c>
    </row>
    <row r="29" spans="1:11">
      <c r="A29" s="8" t="str">
        <f>"20111221"</f>
        <v>20111221</v>
      </c>
      <c r="B29" s="8" t="str">
        <f>"20111221"</f>
        <v>20111221</v>
      </c>
      <c r="C29" s="8" t="str">
        <f>"证券转银行"</f>
        <v>证券转银行</v>
      </c>
      <c r="D29" s="8"/>
      <c r="E29" s="8"/>
      <c r="F29" s="8">
        <v>0</v>
      </c>
      <c r="G29" s="8">
        <v>0</v>
      </c>
      <c r="H29" s="8">
        <v>0</v>
      </c>
      <c r="I29" s="11">
        <v>-300</v>
      </c>
      <c r="J29" s="8">
        <v>75.25</v>
      </c>
      <c r="K29" s="8">
        <v>0</v>
      </c>
    </row>
    <row r="30" spans="1:11">
      <c r="A30" s="8" t="str">
        <f>"20120305"</f>
        <v>20120305</v>
      </c>
      <c r="B30" s="8" t="str">
        <f>"20120305"</f>
        <v>20120305</v>
      </c>
      <c r="C30" s="8" t="str">
        <f>"证券卖出"</f>
        <v>证券卖出</v>
      </c>
      <c r="D30" s="8" t="str">
        <f>"002500"</f>
        <v>002500</v>
      </c>
      <c r="E30" s="8" t="str">
        <f>"山西证券"</f>
        <v>山西证券</v>
      </c>
      <c r="F30" s="8">
        <v>7.48</v>
      </c>
      <c r="G30" s="8">
        <v>600</v>
      </c>
      <c r="H30" s="8">
        <v>4488</v>
      </c>
      <c r="I30" s="11">
        <v>4478.51</v>
      </c>
      <c r="J30" s="8">
        <v>4553.76</v>
      </c>
      <c r="K30" s="8">
        <v>0</v>
      </c>
    </row>
    <row r="31" spans="1:11">
      <c r="A31" s="8" t="str">
        <f>"20120308"</f>
        <v>20120308</v>
      </c>
      <c r="B31" s="8" t="str">
        <f>"20120308"</f>
        <v>20120308</v>
      </c>
      <c r="C31" s="8" t="str">
        <f>"证券买入"</f>
        <v>证券买入</v>
      </c>
      <c r="D31" s="8" t="str">
        <f>"600270"</f>
        <v>600270</v>
      </c>
      <c r="E31" s="8" t="str">
        <f>"外运发展"</f>
        <v>外运发展</v>
      </c>
      <c r="F31" s="8">
        <v>7.19</v>
      </c>
      <c r="G31" s="8">
        <v>600</v>
      </c>
      <c r="H31" s="8">
        <v>4314</v>
      </c>
      <c r="I31" s="11">
        <v>-4320</v>
      </c>
      <c r="J31" s="8">
        <v>233.76</v>
      </c>
      <c r="K31" s="8">
        <v>600</v>
      </c>
    </row>
    <row r="32" spans="1:11">
      <c r="A32" s="8" t="str">
        <f>"20120312"</f>
        <v>20120312</v>
      </c>
      <c r="B32" s="8" t="str">
        <f>"20120312"</f>
        <v>20120312</v>
      </c>
      <c r="C32" s="8" t="str">
        <f>"证券卖出"</f>
        <v>证券卖出</v>
      </c>
      <c r="D32" s="8" t="str">
        <f>"600270"</f>
        <v>600270</v>
      </c>
      <c r="E32" s="8" t="str">
        <f>"外运发展"</f>
        <v>外运发展</v>
      </c>
      <c r="F32" s="8">
        <v>7.37</v>
      </c>
      <c r="G32" s="8">
        <v>600</v>
      </c>
      <c r="H32" s="8">
        <v>4422</v>
      </c>
      <c r="I32" s="11">
        <v>4411.58</v>
      </c>
      <c r="J32" s="8">
        <v>4645.34</v>
      </c>
      <c r="K32" s="8">
        <v>0</v>
      </c>
    </row>
    <row r="33" spans="1:11">
      <c r="A33" s="8" t="str">
        <f>"20120313"</f>
        <v>20120313</v>
      </c>
      <c r="B33" s="8" t="str">
        <f>"20120313"</f>
        <v>20120313</v>
      </c>
      <c r="C33" s="8" t="str">
        <f>"证券买入"</f>
        <v>证券买入</v>
      </c>
      <c r="D33" s="8" t="str">
        <f>"600583"</f>
        <v>600583</v>
      </c>
      <c r="E33" s="8" t="str">
        <f>"海油工程"</f>
        <v>海油工程</v>
      </c>
      <c r="F33" s="8">
        <v>6.22</v>
      </c>
      <c r="G33" s="8">
        <v>700</v>
      </c>
      <c r="H33" s="8">
        <v>4354</v>
      </c>
      <c r="I33" s="11">
        <v>-4360</v>
      </c>
      <c r="J33" s="8">
        <v>285.34</v>
      </c>
      <c r="K33" s="8">
        <v>700</v>
      </c>
    </row>
    <row r="34" spans="1:11">
      <c r="A34" s="8" t="str">
        <f>"20120320"</f>
        <v>20120320</v>
      </c>
      <c r="B34" s="8" t="str">
        <f>"20120320"</f>
        <v>20120320</v>
      </c>
      <c r="C34" s="8" t="str">
        <f t="shared" ref="C34:C39" si="7">"利息归本"</f>
        <v>利息归本</v>
      </c>
      <c r="D34" s="8"/>
      <c r="E34" s="8"/>
      <c r="F34" s="8">
        <v>0</v>
      </c>
      <c r="G34" s="8">
        <v>0</v>
      </c>
      <c r="H34" s="8">
        <v>0</v>
      </c>
      <c r="I34" s="11">
        <v>0.37</v>
      </c>
      <c r="J34" s="8">
        <v>285.71</v>
      </c>
      <c r="K34" s="8">
        <v>0</v>
      </c>
    </row>
    <row r="35" spans="1:11">
      <c r="A35" s="8" t="str">
        <f>"20120608"</f>
        <v>20120608</v>
      </c>
      <c r="B35" s="8" t="str">
        <f>"20120608"</f>
        <v>20120608</v>
      </c>
      <c r="C35" s="8" t="str">
        <f>"红利入账"</f>
        <v>红利入账</v>
      </c>
      <c r="D35" s="8" t="str">
        <f>"600583"</f>
        <v>600583</v>
      </c>
      <c r="E35" s="8" t="str">
        <f>"海油工程"</f>
        <v>海油工程</v>
      </c>
      <c r="F35" s="8">
        <v>0</v>
      </c>
      <c r="G35" s="8">
        <v>700</v>
      </c>
      <c r="H35" s="8">
        <v>22.05</v>
      </c>
      <c r="I35" s="11">
        <v>22.05</v>
      </c>
      <c r="J35" s="8">
        <v>307.76</v>
      </c>
      <c r="K35" s="8">
        <v>0</v>
      </c>
    </row>
    <row r="36" spans="1:11">
      <c r="A36" s="8" t="str">
        <f>"20120618"</f>
        <v>20120618</v>
      </c>
      <c r="B36" s="8" t="str">
        <f>"20120618"</f>
        <v>20120618</v>
      </c>
      <c r="C36" s="8" t="str">
        <f>"证券转银行"</f>
        <v>证券转银行</v>
      </c>
      <c r="D36" s="8"/>
      <c r="E36" s="8"/>
      <c r="F36" s="8">
        <v>0</v>
      </c>
      <c r="G36" s="8">
        <v>0</v>
      </c>
      <c r="H36" s="8">
        <v>0</v>
      </c>
      <c r="I36" s="11">
        <v>-300</v>
      </c>
      <c r="J36" s="8">
        <v>7.76</v>
      </c>
      <c r="K36" s="8">
        <v>0</v>
      </c>
    </row>
    <row r="37" spans="1:11">
      <c r="A37" s="8" t="str">
        <f>"20120620"</f>
        <v>20120620</v>
      </c>
      <c r="B37" s="8" t="str">
        <f>"20120620"</f>
        <v>20120620</v>
      </c>
      <c r="C37" s="8" t="str">
        <f t="shared" si="7"/>
        <v>利息归本</v>
      </c>
      <c r="D37" s="8"/>
      <c r="E37" s="8"/>
      <c r="F37" s="8">
        <v>0</v>
      </c>
      <c r="G37" s="8">
        <v>0</v>
      </c>
      <c r="H37" s="8">
        <v>0</v>
      </c>
      <c r="I37" s="11">
        <v>0.28</v>
      </c>
      <c r="J37" s="8">
        <v>8.04</v>
      </c>
      <c r="K37" s="8">
        <v>0</v>
      </c>
    </row>
    <row r="38" spans="1:11">
      <c r="A38" s="8" t="str">
        <f>"20120920"</f>
        <v>20120920</v>
      </c>
      <c r="B38" s="8" t="str">
        <f>"20120920"</f>
        <v>20120920</v>
      </c>
      <c r="C38" s="8" t="str">
        <f t="shared" si="7"/>
        <v>利息归本</v>
      </c>
      <c r="D38" s="8"/>
      <c r="E38" s="8"/>
      <c r="F38" s="8">
        <v>0</v>
      </c>
      <c r="G38" s="8">
        <v>0</v>
      </c>
      <c r="H38" s="8">
        <v>0</v>
      </c>
      <c r="I38" s="11">
        <v>0.01</v>
      </c>
      <c r="J38" s="8">
        <v>8.05</v>
      </c>
      <c r="K38" s="8">
        <v>0</v>
      </c>
    </row>
    <row r="39" spans="1:11">
      <c r="A39" s="8" t="str">
        <f>"20121220"</f>
        <v>20121220</v>
      </c>
      <c r="B39" s="8" t="str">
        <f>"20121220"</f>
        <v>20121220</v>
      </c>
      <c r="C39" s="8" t="str">
        <f t="shared" si="7"/>
        <v>利息归本</v>
      </c>
      <c r="D39" s="8"/>
      <c r="E39" s="8"/>
      <c r="F39" s="8">
        <v>0</v>
      </c>
      <c r="G39" s="8">
        <v>0</v>
      </c>
      <c r="H39" s="8">
        <v>0</v>
      </c>
      <c r="I39" s="11">
        <v>0.01</v>
      </c>
      <c r="J39" s="8">
        <v>8.06</v>
      </c>
      <c r="K39" s="8">
        <v>0</v>
      </c>
    </row>
    <row r="40" spans="1:11">
      <c r="A40" s="8" t="str">
        <f>"20121228"</f>
        <v>20121228</v>
      </c>
      <c r="B40" s="8" t="str">
        <f>"20121228"</f>
        <v>20121228</v>
      </c>
      <c r="C40" s="8" t="str">
        <f>"银行转证券"</f>
        <v>银行转证券</v>
      </c>
      <c r="D40" s="8"/>
      <c r="E40" s="8"/>
      <c r="F40" s="8">
        <v>0</v>
      </c>
      <c r="G40" s="8">
        <v>0</v>
      </c>
      <c r="H40" s="8">
        <v>0</v>
      </c>
      <c r="I40" s="11">
        <v>1900</v>
      </c>
      <c r="J40" s="8">
        <v>1908.06</v>
      </c>
      <c r="K40" s="8">
        <v>0</v>
      </c>
    </row>
    <row r="41" spans="1:11">
      <c r="A41" s="8" t="str">
        <f>"20121228"</f>
        <v>20121228</v>
      </c>
      <c r="B41" s="8" t="str">
        <f>"20121228"</f>
        <v>20121228</v>
      </c>
      <c r="C41" s="8" t="str">
        <f t="shared" ref="C41:C46" si="8">"证券转银行"</f>
        <v>证券转银行</v>
      </c>
      <c r="D41" s="8"/>
      <c r="E41" s="8"/>
      <c r="F41" s="8">
        <v>0</v>
      </c>
      <c r="G41" s="8">
        <v>0</v>
      </c>
      <c r="H41" s="8">
        <v>0</v>
      </c>
      <c r="I41" s="11">
        <v>-1900</v>
      </c>
      <c r="J41" s="8">
        <v>8.06</v>
      </c>
      <c r="K41" s="8">
        <v>0</v>
      </c>
    </row>
    <row r="42" spans="1:11">
      <c r="A42" s="8" t="str">
        <f>"20130110"</f>
        <v>20130110</v>
      </c>
      <c r="B42" s="8" t="str">
        <f>"20130110"</f>
        <v>20130110</v>
      </c>
      <c r="C42" s="8" t="str">
        <f>"银行转证券"</f>
        <v>银行转证券</v>
      </c>
      <c r="D42" s="8"/>
      <c r="E42" s="8"/>
      <c r="F42" s="8">
        <v>0</v>
      </c>
      <c r="G42" s="8">
        <v>0</v>
      </c>
      <c r="H42" s="8">
        <v>0</v>
      </c>
      <c r="I42" s="11">
        <v>3000</v>
      </c>
      <c r="J42" s="8">
        <v>3008.06</v>
      </c>
      <c r="K42" s="8">
        <v>0</v>
      </c>
    </row>
    <row r="43" spans="1:11">
      <c r="A43" s="8" t="str">
        <f>"20130225"</f>
        <v>20130225</v>
      </c>
      <c r="B43" s="8" t="str">
        <f>"20130225"</f>
        <v>20130225</v>
      </c>
      <c r="C43" s="8" t="str">
        <f t="shared" si="8"/>
        <v>证券转银行</v>
      </c>
      <c r="D43" s="8"/>
      <c r="E43" s="8"/>
      <c r="F43" s="8">
        <v>0</v>
      </c>
      <c r="G43" s="8">
        <v>0</v>
      </c>
      <c r="H43" s="8">
        <v>0</v>
      </c>
      <c r="I43" s="11">
        <v>-3000</v>
      </c>
      <c r="J43" s="8">
        <v>8.06</v>
      </c>
      <c r="K43" s="8">
        <v>0</v>
      </c>
    </row>
    <row r="44" spans="1:11">
      <c r="A44" s="8" t="str">
        <f>"20130320"</f>
        <v>20130320</v>
      </c>
      <c r="B44" s="8" t="str">
        <f>"20130320"</f>
        <v>20130320</v>
      </c>
      <c r="C44" s="8" t="str">
        <f>"利息归本"</f>
        <v>利息归本</v>
      </c>
      <c r="D44" s="8"/>
      <c r="E44" s="8"/>
      <c r="F44" s="8">
        <v>0</v>
      </c>
      <c r="G44" s="8">
        <v>0</v>
      </c>
      <c r="H44" s="8">
        <v>0</v>
      </c>
      <c r="I44" s="11">
        <v>1.32</v>
      </c>
      <c r="J44" s="8">
        <v>9.38</v>
      </c>
      <c r="K44" s="8">
        <v>0</v>
      </c>
    </row>
    <row r="45" spans="1:11">
      <c r="A45" s="8" t="str">
        <f>"20130520"</f>
        <v>20130520</v>
      </c>
      <c r="B45" s="8" t="str">
        <f>"20130520"</f>
        <v>20130520</v>
      </c>
      <c r="C45" s="8" t="str">
        <f>"证券卖出"</f>
        <v>证券卖出</v>
      </c>
      <c r="D45" s="8" t="str">
        <f>"600583"</f>
        <v>600583</v>
      </c>
      <c r="E45" s="8" t="str">
        <f>"海油工程"</f>
        <v>海油工程</v>
      </c>
      <c r="F45" s="8">
        <v>7.5</v>
      </c>
      <c r="G45" s="8">
        <v>700</v>
      </c>
      <c r="H45" s="8">
        <v>5250</v>
      </c>
      <c r="I45" s="11">
        <v>5238.55</v>
      </c>
      <c r="J45" s="8">
        <v>5247.93</v>
      </c>
      <c r="K45" s="8">
        <v>0</v>
      </c>
    </row>
    <row r="46" spans="1:11">
      <c r="A46" s="8" t="str">
        <f>"20130613"</f>
        <v>20130613</v>
      </c>
      <c r="B46" s="8" t="str">
        <f>"20130613"</f>
        <v>20130613</v>
      </c>
      <c r="C46" s="8" t="str">
        <f t="shared" si="8"/>
        <v>证券转银行</v>
      </c>
      <c r="D46" s="8"/>
      <c r="E46" s="8"/>
      <c r="F46" s="8">
        <v>0</v>
      </c>
      <c r="G46" s="8">
        <v>0</v>
      </c>
      <c r="H46" s="8">
        <v>0</v>
      </c>
      <c r="I46" s="11">
        <v>-1000</v>
      </c>
      <c r="J46" s="8">
        <v>4247.93</v>
      </c>
      <c r="K46" s="8">
        <v>0</v>
      </c>
    </row>
    <row r="47" spans="1:11">
      <c r="A47" s="8" t="str">
        <f>"20130618"</f>
        <v>20130618</v>
      </c>
      <c r="B47" s="8" t="str">
        <f>"20130618"</f>
        <v>20130618</v>
      </c>
      <c r="C47" s="8" t="str">
        <f>"银行转证券"</f>
        <v>银行转证券</v>
      </c>
      <c r="D47" s="8"/>
      <c r="E47" s="8"/>
      <c r="F47" s="8">
        <v>0</v>
      </c>
      <c r="G47" s="8">
        <v>0</v>
      </c>
      <c r="H47" s="8">
        <v>0</v>
      </c>
      <c r="I47" s="11">
        <v>2000</v>
      </c>
      <c r="J47" s="8">
        <v>6247.93</v>
      </c>
      <c r="K47" s="8">
        <v>0</v>
      </c>
    </row>
    <row r="48" spans="1:11">
      <c r="A48" s="8" t="str">
        <f>"20130620"</f>
        <v>20130620</v>
      </c>
      <c r="B48" s="8" t="str">
        <f>"20130620"</f>
        <v>20130620</v>
      </c>
      <c r="C48" s="8" t="str">
        <f>"利息归本"</f>
        <v>利息归本</v>
      </c>
      <c r="D48" s="8"/>
      <c r="E48" s="8"/>
      <c r="F48" s="8">
        <v>0</v>
      </c>
      <c r="G48" s="8">
        <v>0</v>
      </c>
      <c r="H48" s="8">
        <v>0</v>
      </c>
      <c r="I48" s="11">
        <v>1.46</v>
      </c>
      <c r="J48" s="8">
        <v>6249.39</v>
      </c>
      <c r="K48" s="8">
        <v>0</v>
      </c>
    </row>
    <row r="49" spans="1:11">
      <c r="A49" s="8" t="str">
        <f>"20130626"</f>
        <v>20130626</v>
      </c>
      <c r="B49" s="8" t="str">
        <f>"20130626"</f>
        <v>20130626</v>
      </c>
      <c r="C49" s="8" t="str">
        <f>"证券转银行"</f>
        <v>证券转银行</v>
      </c>
      <c r="D49" s="8"/>
      <c r="E49" s="8"/>
      <c r="F49" s="8">
        <v>0</v>
      </c>
      <c r="G49" s="8">
        <v>0</v>
      </c>
      <c r="H49" s="8">
        <v>0</v>
      </c>
      <c r="I49" s="11">
        <v>-366.66</v>
      </c>
      <c r="J49" s="8">
        <v>5882.73</v>
      </c>
      <c r="K49" s="8">
        <v>0</v>
      </c>
    </row>
    <row r="50" spans="1:11">
      <c r="A50" s="8" t="str">
        <f>"20130716"</f>
        <v>20130716</v>
      </c>
      <c r="B50" s="8" t="str">
        <f>"20130716"</f>
        <v>20130716</v>
      </c>
      <c r="C50" s="8" t="str">
        <f>"证券买入"</f>
        <v>证券买入</v>
      </c>
      <c r="D50" s="8" t="str">
        <f>"002500"</f>
        <v>002500</v>
      </c>
      <c r="E50" s="8" t="str">
        <f>"山西证券"</f>
        <v>山西证券</v>
      </c>
      <c r="F50" s="8">
        <v>6.54</v>
      </c>
      <c r="G50" s="8">
        <v>500</v>
      </c>
      <c r="H50" s="8">
        <v>3270</v>
      </c>
      <c r="I50" s="11">
        <v>-3275</v>
      </c>
      <c r="J50" s="8">
        <v>2607.73</v>
      </c>
      <c r="K50" s="8">
        <v>500</v>
      </c>
    </row>
    <row r="51" spans="1:11">
      <c r="A51" s="8" t="str">
        <f>"20130724"</f>
        <v>20130724</v>
      </c>
      <c r="B51" s="8" t="str">
        <f>"20130724"</f>
        <v>20130724</v>
      </c>
      <c r="C51" s="8" t="str">
        <f>"证券转银行"</f>
        <v>证券转银行</v>
      </c>
      <c r="D51" s="8"/>
      <c r="E51" s="8"/>
      <c r="F51" s="8">
        <v>0</v>
      </c>
      <c r="G51" s="8">
        <v>0</v>
      </c>
      <c r="H51" s="8">
        <v>0</v>
      </c>
      <c r="I51" s="11">
        <v>-66.47</v>
      </c>
      <c r="J51" s="8">
        <v>2541.26</v>
      </c>
      <c r="K51" s="8">
        <v>0</v>
      </c>
    </row>
    <row r="52" spans="1:11">
      <c r="A52" s="8" t="str">
        <f>"20130802"</f>
        <v>20130802</v>
      </c>
      <c r="B52" s="8" t="str">
        <f>"20130802"</f>
        <v>20130802</v>
      </c>
      <c r="C52" s="8" t="str">
        <f t="shared" ref="C52:C58" si="9">"融券回购"</f>
        <v>融券回购</v>
      </c>
      <c r="D52" s="8" t="str">
        <f t="shared" ref="D52:D55" si="10">"131801"</f>
        <v>131801</v>
      </c>
      <c r="E52" s="8" t="str">
        <f t="shared" ref="E52:E55" si="11">"Ｒ-007"</f>
        <v>Ｒ-007</v>
      </c>
      <c r="F52" s="8">
        <v>3.6</v>
      </c>
      <c r="G52" s="8">
        <v>10</v>
      </c>
      <c r="H52" s="8">
        <v>1000</v>
      </c>
      <c r="I52" s="11">
        <v>-1000.1</v>
      </c>
      <c r="J52" s="8">
        <v>1541.16</v>
      </c>
      <c r="K52" s="8">
        <v>0</v>
      </c>
    </row>
    <row r="53" spans="1:11">
      <c r="A53" s="8" t="str">
        <f>"20130805"</f>
        <v>20130805</v>
      </c>
      <c r="B53" s="8" t="str">
        <f>"20130805"</f>
        <v>20130805</v>
      </c>
      <c r="C53" s="8" t="str">
        <f t="shared" si="9"/>
        <v>融券回购</v>
      </c>
      <c r="D53" s="8" t="str">
        <f t="shared" si="10"/>
        <v>131801</v>
      </c>
      <c r="E53" s="8" t="str">
        <f t="shared" si="11"/>
        <v>Ｒ-007</v>
      </c>
      <c r="F53" s="8">
        <v>3.72</v>
      </c>
      <c r="G53" s="8">
        <v>10</v>
      </c>
      <c r="H53" s="8">
        <v>1000</v>
      </c>
      <c r="I53" s="11">
        <v>-1000.1</v>
      </c>
      <c r="J53" s="8">
        <v>541.06</v>
      </c>
      <c r="K53" s="8">
        <v>0</v>
      </c>
    </row>
    <row r="54" spans="1:11">
      <c r="A54" s="8" t="str">
        <f>"20130809"</f>
        <v>20130809</v>
      </c>
      <c r="B54" s="8" t="str">
        <f>"20130802"</f>
        <v>20130802</v>
      </c>
      <c r="C54" s="8" t="str">
        <f>"融券购回"</f>
        <v>融券购回</v>
      </c>
      <c r="D54" s="8" t="str">
        <f t="shared" si="10"/>
        <v>131801</v>
      </c>
      <c r="E54" s="8" t="str">
        <f t="shared" si="11"/>
        <v>Ｒ-007</v>
      </c>
      <c r="F54" s="8">
        <v>3.6</v>
      </c>
      <c r="G54" s="8">
        <v>10</v>
      </c>
      <c r="H54" s="8">
        <v>1000.69</v>
      </c>
      <c r="I54" s="11">
        <v>1000.69</v>
      </c>
      <c r="J54" s="8">
        <v>1541.75</v>
      </c>
      <c r="K54" s="8">
        <v>0</v>
      </c>
    </row>
    <row r="55" spans="1:11">
      <c r="A55" s="8" t="str">
        <f>"20130812"</f>
        <v>20130812</v>
      </c>
      <c r="B55" s="8" t="str">
        <f>"20130805"</f>
        <v>20130805</v>
      </c>
      <c r="C55" s="8" t="str">
        <f>"融券购回"</f>
        <v>融券购回</v>
      </c>
      <c r="D55" s="8" t="str">
        <f t="shared" si="10"/>
        <v>131801</v>
      </c>
      <c r="E55" s="8" t="str">
        <f t="shared" si="11"/>
        <v>Ｒ-007</v>
      </c>
      <c r="F55" s="8">
        <v>3.72</v>
      </c>
      <c r="G55" s="8">
        <v>10</v>
      </c>
      <c r="H55" s="8">
        <v>1000.71</v>
      </c>
      <c r="I55" s="11">
        <v>1000.71</v>
      </c>
      <c r="J55" s="8">
        <v>2542.46</v>
      </c>
      <c r="K55" s="8">
        <v>0</v>
      </c>
    </row>
    <row r="56" spans="1:11">
      <c r="A56" s="8" t="str">
        <f>"20130819"</f>
        <v>20130819</v>
      </c>
      <c r="B56" s="8" t="str">
        <f>"20130819"</f>
        <v>20130819</v>
      </c>
      <c r="C56" s="8" t="str">
        <f t="shared" ref="C56:C61" si="12">"银行转证券"</f>
        <v>银行转证券</v>
      </c>
      <c r="D56" s="8"/>
      <c r="E56" s="8"/>
      <c r="F56" s="8">
        <v>0</v>
      </c>
      <c r="G56" s="8">
        <v>0</v>
      </c>
      <c r="H56" s="8">
        <v>0</v>
      </c>
      <c r="I56" s="11">
        <v>2000</v>
      </c>
      <c r="J56" s="8">
        <v>4542.46</v>
      </c>
      <c r="K56" s="8">
        <v>0</v>
      </c>
    </row>
    <row r="57" spans="1:11">
      <c r="A57" s="8" t="str">
        <f>"20130819"</f>
        <v>20130819</v>
      </c>
      <c r="B57" s="8" t="str">
        <f>"20130819"</f>
        <v>20130819</v>
      </c>
      <c r="C57" s="8" t="str">
        <f t="shared" si="9"/>
        <v>融券回购</v>
      </c>
      <c r="D57" s="8" t="str">
        <f>"131802"</f>
        <v>131802</v>
      </c>
      <c r="E57" s="8" t="str">
        <f>"Ｒ-014"</f>
        <v>Ｒ-014</v>
      </c>
      <c r="F57" s="8">
        <v>4.134</v>
      </c>
      <c r="G57" s="8">
        <v>20</v>
      </c>
      <c r="H57" s="8">
        <v>2000</v>
      </c>
      <c r="I57" s="11">
        <v>-2000.2</v>
      </c>
      <c r="J57" s="8">
        <v>2542.26</v>
      </c>
      <c r="K57" s="8">
        <v>0</v>
      </c>
    </row>
    <row r="58" spans="1:11">
      <c r="A58" s="8" t="str">
        <f>"20130821"</f>
        <v>20130821</v>
      </c>
      <c r="B58" s="8" t="str">
        <f>"20130821"</f>
        <v>20130821</v>
      </c>
      <c r="C58" s="8" t="str">
        <f t="shared" si="9"/>
        <v>融券回购</v>
      </c>
      <c r="D58" s="8" t="str">
        <f>"131802"</f>
        <v>131802</v>
      </c>
      <c r="E58" s="8" t="str">
        <f>"Ｒ-014"</f>
        <v>Ｒ-014</v>
      </c>
      <c r="F58" s="8">
        <v>4.2</v>
      </c>
      <c r="G58" s="8">
        <v>10</v>
      </c>
      <c r="H58" s="8">
        <v>1000</v>
      </c>
      <c r="I58" s="11">
        <v>-1000.1</v>
      </c>
      <c r="J58" s="8">
        <v>1542.16</v>
      </c>
      <c r="K58" s="8">
        <v>0</v>
      </c>
    </row>
    <row r="59" spans="1:11">
      <c r="A59" s="8" t="str">
        <f>"20130826"</f>
        <v>20130826</v>
      </c>
      <c r="B59" s="8" t="str">
        <f>"20130826"</f>
        <v>20130826</v>
      </c>
      <c r="C59" s="8" t="str">
        <f t="shared" si="12"/>
        <v>银行转证券</v>
      </c>
      <c r="D59" s="8"/>
      <c r="E59" s="8"/>
      <c r="F59" s="8">
        <v>0</v>
      </c>
      <c r="G59" s="8">
        <v>0</v>
      </c>
      <c r="H59" s="8">
        <v>0</v>
      </c>
      <c r="I59" s="11">
        <v>2000</v>
      </c>
      <c r="J59" s="8">
        <v>3542.16</v>
      </c>
      <c r="K59" s="8">
        <v>0</v>
      </c>
    </row>
    <row r="60" spans="1:11">
      <c r="A60" s="8" t="str">
        <f>"20130826"</f>
        <v>20130826</v>
      </c>
      <c r="B60" s="8" t="str">
        <f>"20130826"</f>
        <v>20130826</v>
      </c>
      <c r="C60" s="8" t="str">
        <f>"融券回购"</f>
        <v>融券回购</v>
      </c>
      <c r="D60" s="8" t="str">
        <f>"131801"</f>
        <v>131801</v>
      </c>
      <c r="E60" s="8" t="str">
        <f>"Ｒ-007"</f>
        <v>Ｒ-007</v>
      </c>
      <c r="F60" s="8">
        <v>4.5</v>
      </c>
      <c r="G60" s="8">
        <v>20</v>
      </c>
      <c r="H60" s="8">
        <v>2000</v>
      </c>
      <c r="I60" s="11">
        <v>-2000.1</v>
      </c>
      <c r="J60" s="8">
        <v>1542.06</v>
      </c>
      <c r="K60" s="8">
        <v>0</v>
      </c>
    </row>
    <row r="61" spans="1:11">
      <c r="A61" s="8" t="str">
        <f>"20130829"</f>
        <v>20130829</v>
      </c>
      <c r="B61" s="8" t="str">
        <f>"20130829"</f>
        <v>20130829</v>
      </c>
      <c r="C61" s="8" t="str">
        <f t="shared" si="12"/>
        <v>银行转证券</v>
      </c>
      <c r="D61" s="8"/>
      <c r="E61" s="8"/>
      <c r="F61" s="8">
        <v>0</v>
      </c>
      <c r="G61" s="8">
        <v>0</v>
      </c>
      <c r="H61" s="8">
        <v>0</v>
      </c>
      <c r="I61" s="11">
        <v>8500</v>
      </c>
      <c r="J61" s="8">
        <v>10042.06</v>
      </c>
      <c r="K61" s="8">
        <v>0</v>
      </c>
    </row>
    <row r="62" spans="1:11">
      <c r="A62" s="8" t="str">
        <f>"20130829"</f>
        <v>20130829</v>
      </c>
      <c r="B62" s="8" t="str">
        <f>"20130829"</f>
        <v>20130829</v>
      </c>
      <c r="C62" s="8" t="str">
        <f t="shared" ref="C62:C66" si="13">"证券买入"</f>
        <v>证券买入</v>
      </c>
      <c r="D62" s="8" t="str">
        <f>"002609"</f>
        <v>002609</v>
      </c>
      <c r="E62" s="8" t="str">
        <f>"捷顺科技"</f>
        <v>捷顺科技</v>
      </c>
      <c r="F62" s="8">
        <v>14.93</v>
      </c>
      <c r="G62" s="8">
        <v>600</v>
      </c>
      <c r="H62" s="8">
        <v>8958</v>
      </c>
      <c r="I62" s="11">
        <v>-8967.85</v>
      </c>
      <c r="J62" s="8">
        <v>1074.21</v>
      </c>
      <c r="K62" s="8">
        <v>600</v>
      </c>
    </row>
    <row r="63" spans="1:11">
      <c r="A63" s="8" t="str">
        <f t="shared" ref="A63:A66" si="14">"20130830"</f>
        <v>20130830</v>
      </c>
      <c r="B63" s="8" t="str">
        <f t="shared" ref="B63:B66" si="15">"20130830"</f>
        <v>20130830</v>
      </c>
      <c r="C63" s="8" t="str">
        <f>"银行转证券"</f>
        <v>银行转证券</v>
      </c>
      <c r="D63" s="8"/>
      <c r="E63" s="8"/>
      <c r="F63" s="8">
        <v>0</v>
      </c>
      <c r="G63" s="8">
        <v>0</v>
      </c>
      <c r="H63" s="8">
        <v>0</v>
      </c>
      <c r="I63" s="11">
        <v>3000</v>
      </c>
      <c r="J63" s="8">
        <v>4074.21</v>
      </c>
      <c r="K63" s="8">
        <v>0</v>
      </c>
    </row>
    <row r="64" spans="1:11">
      <c r="A64" s="8" t="str">
        <f t="shared" si="14"/>
        <v>20130830</v>
      </c>
      <c r="B64" s="8" t="str">
        <f t="shared" si="15"/>
        <v>20130830</v>
      </c>
      <c r="C64" s="8" t="str">
        <f>"证券卖出"</f>
        <v>证券卖出</v>
      </c>
      <c r="D64" s="8" t="str">
        <f>"002609"</f>
        <v>002609</v>
      </c>
      <c r="E64" s="8" t="str">
        <f>"捷顺科技"</f>
        <v>捷顺科技</v>
      </c>
      <c r="F64" s="8">
        <v>14.55</v>
      </c>
      <c r="G64" s="8">
        <v>600</v>
      </c>
      <c r="H64" s="8">
        <v>8730</v>
      </c>
      <c r="I64" s="11">
        <v>8711.67</v>
      </c>
      <c r="J64" s="8">
        <v>12785.88</v>
      </c>
      <c r="K64" s="8">
        <v>0</v>
      </c>
    </row>
    <row r="65" spans="1:11">
      <c r="A65" s="8" t="str">
        <f t="shared" si="14"/>
        <v>20130830</v>
      </c>
      <c r="B65" s="8" t="str">
        <f t="shared" si="15"/>
        <v>20130830</v>
      </c>
      <c r="C65" s="8" t="str">
        <f t="shared" si="13"/>
        <v>证券买入</v>
      </c>
      <c r="D65" s="8" t="str">
        <f>"000606"</f>
        <v>000606</v>
      </c>
      <c r="E65" s="8" t="str">
        <f>"青海明胶"</f>
        <v>青海明胶</v>
      </c>
      <c r="F65" s="8">
        <v>9.26</v>
      </c>
      <c r="G65" s="8">
        <v>700</v>
      </c>
      <c r="H65" s="8">
        <v>6482</v>
      </c>
      <c r="I65" s="11">
        <v>-6489.13</v>
      </c>
      <c r="J65" s="8">
        <v>6296.75</v>
      </c>
      <c r="K65" s="8">
        <v>700</v>
      </c>
    </row>
    <row r="66" spans="1:11">
      <c r="A66" s="8" t="str">
        <f t="shared" si="14"/>
        <v>20130830</v>
      </c>
      <c r="B66" s="8" t="str">
        <f t="shared" si="15"/>
        <v>20130830</v>
      </c>
      <c r="C66" s="8" t="str">
        <f t="shared" si="13"/>
        <v>证券买入</v>
      </c>
      <c r="D66" s="8" t="str">
        <f>"000606"</f>
        <v>000606</v>
      </c>
      <c r="E66" s="8" t="str">
        <f>"青海明胶"</f>
        <v>青海明胶</v>
      </c>
      <c r="F66" s="8">
        <v>9.15</v>
      </c>
      <c r="G66" s="8">
        <v>600</v>
      </c>
      <c r="H66" s="8">
        <v>5490</v>
      </c>
      <c r="I66" s="11">
        <v>-5496.04</v>
      </c>
      <c r="J66" s="8">
        <v>800.71</v>
      </c>
      <c r="K66" s="8">
        <v>1300</v>
      </c>
    </row>
    <row r="67" spans="1:11">
      <c r="A67" s="8" t="str">
        <f>"20130902"</f>
        <v>20130902</v>
      </c>
      <c r="B67" s="8" t="str">
        <f>"20130819"</f>
        <v>20130819</v>
      </c>
      <c r="C67" s="8" t="str">
        <f t="shared" ref="C67:C69" si="16">"融券购回"</f>
        <v>融券购回</v>
      </c>
      <c r="D67" s="8" t="str">
        <f>"131802"</f>
        <v>131802</v>
      </c>
      <c r="E67" s="8" t="str">
        <f>"Ｒ-014"</f>
        <v>Ｒ-014</v>
      </c>
      <c r="F67" s="8">
        <v>4.134</v>
      </c>
      <c r="G67" s="8">
        <v>20</v>
      </c>
      <c r="H67" s="8">
        <v>2003.17</v>
      </c>
      <c r="I67" s="11">
        <v>2003.17</v>
      </c>
      <c r="J67" s="8">
        <v>2803.88</v>
      </c>
      <c r="K67" s="8">
        <v>0</v>
      </c>
    </row>
    <row r="68" spans="1:11">
      <c r="A68" s="8" t="str">
        <f>"20130902"</f>
        <v>20130902</v>
      </c>
      <c r="B68" s="8" t="str">
        <f>"20130826"</f>
        <v>20130826</v>
      </c>
      <c r="C68" s="8" t="str">
        <f t="shared" si="16"/>
        <v>融券购回</v>
      </c>
      <c r="D68" s="8" t="str">
        <f>"131801"</f>
        <v>131801</v>
      </c>
      <c r="E68" s="8" t="str">
        <f>"Ｒ-007"</f>
        <v>Ｒ-007</v>
      </c>
      <c r="F68" s="8">
        <v>4.5</v>
      </c>
      <c r="G68" s="8">
        <v>20</v>
      </c>
      <c r="H68" s="8">
        <v>2001.73</v>
      </c>
      <c r="I68" s="11">
        <v>2001.73</v>
      </c>
      <c r="J68" s="8">
        <v>4805.61</v>
      </c>
      <c r="K68" s="8">
        <v>0</v>
      </c>
    </row>
    <row r="69" spans="1:11">
      <c r="A69" s="8" t="str">
        <f>"20130904"</f>
        <v>20130904</v>
      </c>
      <c r="B69" s="8" t="str">
        <f>"20130821"</f>
        <v>20130821</v>
      </c>
      <c r="C69" s="8" t="str">
        <f t="shared" si="16"/>
        <v>融券购回</v>
      </c>
      <c r="D69" s="8" t="str">
        <f>"131802"</f>
        <v>131802</v>
      </c>
      <c r="E69" s="8" t="str">
        <f>"Ｒ-014"</f>
        <v>Ｒ-014</v>
      </c>
      <c r="F69" s="8">
        <v>4.2</v>
      </c>
      <c r="G69" s="8">
        <v>10</v>
      </c>
      <c r="H69" s="8">
        <v>1001.61</v>
      </c>
      <c r="I69" s="11">
        <v>1001.61</v>
      </c>
      <c r="J69" s="8">
        <v>5807.22</v>
      </c>
      <c r="K69" s="8">
        <v>0</v>
      </c>
    </row>
    <row r="70" spans="1:11">
      <c r="A70" s="8" t="str">
        <f>"20130904"</f>
        <v>20130904</v>
      </c>
      <c r="B70" s="8" t="str">
        <f>"20130904"</f>
        <v>20130904</v>
      </c>
      <c r="C70" s="8" t="str">
        <f>"证券买入"</f>
        <v>证券买入</v>
      </c>
      <c r="D70" s="8" t="str">
        <f>"002500"</f>
        <v>002500</v>
      </c>
      <c r="E70" s="8" t="str">
        <f>"山西证券"</f>
        <v>山西证券</v>
      </c>
      <c r="F70" s="8">
        <v>6.62</v>
      </c>
      <c r="G70" s="8">
        <v>800</v>
      </c>
      <c r="H70" s="8">
        <v>5296</v>
      </c>
      <c r="I70" s="11">
        <v>-5301.83</v>
      </c>
      <c r="J70" s="8">
        <v>505.39</v>
      </c>
      <c r="K70" s="8">
        <v>1300</v>
      </c>
    </row>
    <row r="71" spans="1:11">
      <c r="A71" s="8" t="str">
        <f>"20130910"</f>
        <v>20130910</v>
      </c>
      <c r="B71" s="8" t="str">
        <f>"20130910"</f>
        <v>20130910</v>
      </c>
      <c r="C71" s="8" t="str">
        <f>"证券卖出"</f>
        <v>证券卖出</v>
      </c>
      <c r="D71" s="8" t="str">
        <f>"000606"</f>
        <v>000606</v>
      </c>
      <c r="E71" s="8" t="str">
        <f>"青海明胶"</f>
        <v>青海明胶</v>
      </c>
      <c r="F71" s="8">
        <v>9.4</v>
      </c>
      <c r="G71" s="8">
        <v>500</v>
      </c>
      <c r="H71" s="8">
        <v>4700</v>
      </c>
      <c r="I71" s="11">
        <v>4690.13</v>
      </c>
      <c r="J71" s="8">
        <v>5195.52</v>
      </c>
      <c r="K71" s="8">
        <v>800</v>
      </c>
    </row>
    <row r="72" spans="1:11">
      <c r="A72" s="8" t="str">
        <f>"20130911"</f>
        <v>20130911</v>
      </c>
      <c r="B72" s="8" t="str">
        <f t="shared" ref="B72:B77" si="17">"20130911"</f>
        <v>20130911</v>
      </c>
      <c r="C72" s="8" t="str">
        <f>"证券卖出"</f>
        <v>证券卖出</v>
      </c>
      <c r="D72" s="8" t="str">
        <f>"002500"</f>
        <v>002500</v>
      </c>
      <c r="E72" s="8" t="str">
        <f>"山西证券"</f>
        <v>山西证券</v>
      </c>
      <c r="F72" s="8">
        <v>7</v>
      </c>
      <c r="G72" s="8">
        <v>1300</v>
      </c>
      <c r="H72" s="8">
        <v>9100</v>
      </c>
      <c r="I72" s="11">
        <v>9080.89</v>
      </c>
      <c r="J72" s="8">
        <v>14276.41</v>
      </c>
      <c r="K72" s="8">
        <v>0</v>
      </c>
    </row>
    <row r="73" spans="1:11">
      <c r="A73" s="8" t="str">
        <f>"20130911"</f>
        <v>20130911</v>
      </c>
      <c r="B73" s="8" t="str">
        <f t="shared" si="17"/>
        <v>20130911</v>
      </c>
      <c r="C73" s="8" t="str">
        <f>"融券回购"</f>
        <v>融券回购</v>
      </c>
      <c r="D73" s="8" t="str">
        <f>"131801"</f>
        <v>131801</v>
      </c>
      <c r="E73" s="8" t="str">
        <f>"Ｒ-007"</f>
        <v>Ｒ-007</v>
      </c>
      <c r="F73" s="8">
        <v>4.81</v>
      </c>
      <c r="G73" s="8">
        <v>90</v>
      </c>
      <c r="H73" s="8">
        <v>9000</v>
      </c>
      <c r="I73" s="11">
        <v>-9000.45</v>
      </c>
      <c r="J73" s="8">
        <v>5275.96</v>
      </c>
      <c r="K73" s="8">
        <v>0</v>
      </c>
    </row>
    <row r="74" spans="1:11">
      <c r="A74" s="8" t="str">
        <f>"20130913"</f>
        <v>20130913</v>
      </c>
      <c r="B74" s="8" t="str">
        <f>"20130913"</f>
        <v>20130913</v>
      </c>
      <c r="C74" s="8" t="str">
        <f>"证券转银行"</f>
        <v>证券转银行</v>
      </c>
      <c r="D74" s="8"/>
      <c r="E74" s="8"/>
      <c r="F74" s="8">
        <v>0</v>
      </c>
      <c r="G74" s="8">
        <v>0</v>
      </c>
      <c r="H74" s="8">
        <v>0</v>
      </c>
      <c r="I74" s="11">
        <v>-1000</v>
      </c>
      <c r="J74" s="8">
        <v>4275.96</v>
      </c>
      <c r="K74" s="8">
        <v>0</v>
      </c>
    </row>
    <row r="75" spans="1:11">
      <c r="A75" s="8" t="str">
        <f t="shared" ref="A75:A77" si="18">"20130918"</f>
        <v>20130918</v>
      </c>
      <c r="B75" s="8" t="str">
        <f>"20130918"</f>
        <v>20130918</v>
      </c>
      <c r="C75" s="8" t="str">
        <f>"证券转银行"</f>
        <v>证券转银行</v>
      </c>
      <c r="D75" s="8"/>
      <c r="E75" s="8"/>
      <c r="F75" s="8">
        <v>0</v>
      </c>
      <c r="G75" s="8">
        <v>0</v>
      </c>
      <c r="H75" s="8">
        <v>0</v>
      </c>
      <c r="I75" s="11">
        <v>-4000</v>
      </c>
      <c r="J75" s="8">
        <v>275.96</v>
      </c>
      <c r="K75" s="8">
        <v>0</v>
      </c>
    </row>
    <row r="76" spans="1:11">
      <c r="A76" s="8" t="str">
        <f t="shared" si="18"/>
        <v>20130918</v>
      </c>
      <c r="B76" s="8" t="str">
        <f>"20130918"</f>
        <v>20130918</v>
      </c>
      <c r="C76" s="8" t="str">
        <f>"利息归本"</f>
        <v>利息归本</v>
      </c>
      <c r="D76" s="8"/>
      <c r="E76" s="8"/>
      <c r="F76" s="8">
        <v>0</v>
      </c>
      <c r="G76" s="8">
        <v>0</v>
      </c>
      <c r="H76" s="8">
        <v>0</v>
      </c>
      <c r="I76" s="11">
        <v>3.06</v>
      </c>
      <c r="J76" s="8">
        <v>279.02</v>
      </c>
      <c r="K76" s="8">
        <v>0</v>
      </c>
    </row>
    <row r="77" spans="1:11">
      <c r="A77" s="8" t="str">
        <f t="shared" si="18"/>
        <v>20130918</v>
      </c>
      <c r="B77" s="8" t="str">
        <f t="shared" si="17"/>
        <v>20130911</v>
      </c>
      <c r="C77" s="8" t="str">
        <f>"融券购回"</f>
        <v>融券购回</v>
      </c>
      <c r="D77" s="8" t="str">
        <f>"131801"</f>
        <v>131801</v>
      </c>
      <c r="E77" s="8" t="str">
        <f>"Ｒ-007"</f>
        <v>Ｒ-007</v>
      </c>
      <c r="F77" s="8">
        <v>4.81</v>
      </c>
      <c r="G77" s="8">
        <v>90</v>
      </c>
      <c r="H77" s="8">
        <v>9008.3</v>
      </c>
      <c r="I77" s="11">
        <v>9008.3</v>
      </c>
      <c r="J77" s="8">
        <v>9287.32</v>
      </c>
      <c r="K77" s="8">
        <v>0</v>
      </c>
    </row>
    <row r="78" spans="1:11">
      <c r="A78" s="8" t="str">
        <f t="shared" ref="A78:A82" si="19">"20130923"</f>
        <v>20130923</v>
      </c>
      <c r="B78" s="8" t="str">
        <f t="shared" ref="B78:B82" si="20">"20130923"</f>
        <v>20130923</v>
      </c>
      <c r="C78" s="8" t="str">
        <f>"银行转证券"</f>
        <v>银行转证券</v>
      </c>
      <c r="D78" s="8"/>
      <c r="E78" s="8"/>
      <c r="F78" s="8">
        <v>0</v>
      </c>
      <c r="G78" s="8">
        <v>0</v>
      </c>
      <c r="H78" s="8">
        <v>0</v>
      </c>
      <c r="I78" s="11">
        <v>40000</v>
      </c>
      <c r="J78" s="8">
        <v>49287.32</v>
      </c>
      <c r="K78" s="8">
        <v>0</v>
      </c>
    </row>
    <row r="79" spans="1:11">
      <c r="A79" s="8" t="str">
        <f t="shared" si="19"/>
        <v>20130923</v>
      </c>
      <c r="B79" s="8" t="str">
        <f t="shared" si="20"/>
        <v>20130923</v>
      </c>
      <c r="C79" s="8" t="str">
        <f t="shared" ref="C79:C82" si="21">"融券回购"</f>
        <v>融券回购</v>
      </c>
      <c r="D79" s="8" t="str">
        <f t="shared" ref="D79:D82" si="22">"131802"</f>
        <v>131802</v>
      </c>
      <c r="E79" s="8" t="str">
        <f t="shared" ref="E79:E82" si="23">"Ｒ-014"</f>
        <v>Ｒ-014</v>
      </c>
      <c r="F79" s="8">
        <v>4.61</v>
      </c>
      <c r="G79" s="8">
        <v>100</v>
      </c>
      <c r="H79" s="8">
        <v>10000</v>
      </c>
      <c r="I79" s="11">
        <v>-10001</v>
      </c>
      <c r="J79" s="8">
        <v>39286.32</v>
      </c>
      <c r="K79" s="8">
        <v>0</v>
      </c>
    </row>
    <row r="80" spans="1:11">
      <c r="A80" s="8" t="str">
        <f t="shared" si="19"/>
        <v>20130923</v>
      </c>
      <c r="B80" s="8" t="str">
        <f t="shared" si="20"/>
        <v>20130923</v>
      </c>
      <c r="C80" s="8" t="str">
        <f t="shared" si="21"/>
        <v>融券回购</v>
      </c>
      <c r="D80" s="8" t="str">
        <f>"131803"</f>
        <v>131803</v>
      </c>
      <c r="E80" s="8" t="str">
        <f>"Ｒ-028"</f>
        <v>Ｒ-028</v>
      </c>
      <c r="F80" s="8">
        <v>4.355</v>
      </c>
      <c r="G80" s="8">
        <v>50</v>
      </c>
      <c r="H80" s="8">
        <v>5000</v>
      </c>
      <c r="I80" s="11">
        <v>-5001</v>
      </c>
      <c r="J80" s="8">
        <v>34285.32</v>
      </c>
      <c r="K80" s="8">
        <v>0</v>
      </c>
    </row>
    <row r="81" spans="1:11">
      <c r="A81" s="8" t="str">
        <f t="shared" si="19"/>
        <v>20130923</v>
      </c>
      <c r="B81" s="8" t="str">
        <f t="shared" si="20"/>
        <v>20130923</v>
      </c>
      <c r="C81" s="8" t="str">
        <f t="shared" si="21"/>
        <v>融券回购</v>
      </c>
      <c r="D81" s="8" t="str">
        <f t="shared" si="22"/>
        <v>131802</v>
      </c>
      <c r="E81" s="8" t="str">
        <f t="shared" si="23"/>
        <v>Ｒ-014</v>
      </c>
      <c r="F81" s="8">
        <v>5.01</v>
      </c>
      <c r="G81" s="8">
        <v>100</v>
      </c>
      <c r="H81" s="8">
        <v>10000</v>
      </c>
      <c r="I81" s="11">
        <v>-10001</v>
      </c>
      <c r="J81" s="8">
        <v>24284.32</v>
      </c>
      <c r="K81" s="8">
        <v>0</v>
      </c>
    </row>
    <row r="82" spans="1:11">
      <c r="A82" s="8" t="str">
        <f t="shared" si="19"/>
        <v>20130923</v>
      </c>
      <c r="B82" s="8" t="str">
        <f t="shared" si="20"/>
        <v>20130923</v>
      </c>
      <c r="C82" s="8" t="str">
        <f t="shared" si="21"/>
        <v>融券回购</v>
      </c>
      <c r="D82" s="8" t="str">
        <f t="shared" si="22"/>
        <v>131802</v>
      </c>
      <c r="E82" s="8" t="str">
        <f t="shared" si="23"/>
        <v>Ｒ-014</v>
      </c>
      <c r="F82" s="8">
        <v>5.3</v>
      </c>
      <c r="G82" s="8">
        <v>100</v>
      </c>
      <c r="H82" s="8">
        <v>10000</v>
      </c>
      <c r="I82" s="11">
        <v>-10001</v>
      </c>
      <c r="J82" s="8">
        <v>14283.32</v>
      </c>
      <c r="K82" s="8">
        <v>0</v>
      </c>
    </row>
    <row r="83" spans="1:11">
      <c r="A83" s="8" t="str">
        <f>"20130924"</f>
        <v>20130924</v>
      </c>
      <c r="B83" s="8" t="str">
        <f>"20130924"</f>
        <v>20130924</v>
      </c>
      <c r="C83" s="8" t="str">
        <f t="shared" ref="C83:C85" si="24">"证券买入"</f>
        <v>证券买入</v>
      </c>
      <c r="D83" s="8" t="str">
        <f t="shared" ref="D83:D85" si="25">"000606"</f>
        <v>000606</v>
      </c>
      <c r="E83" s="8" t="str">
        <f t="shared" ref="E83:E85" si="26">"青海明胶"</f>
        <v>青海明胶</v>
      </c>
      <c r="F83" s="8">
        <v>10.25</v>
      </c>
      <c r="G83" s="8">
        <v>1000</v>
      </c>
      <c r="H83" s="8">
        <v>10250</v>
      </c>
      <c r="I83" s="11">
        <v>-10261.28</v>
      </c>
      <c r="J83" s="8">
        <v>4022.04</v>
      </c>
      <c r="K83" s="8">
        <v>1800</v>
      </c>
    </row>
    <row r="84" spans="1:11">
      <c r="A84" s="8" t="str">
        <f>"20130925"</f>
        <v>20130925</v>
      </c>
      <c r="B84" s="8" t="str">
        <f>"20130925"</f>
        <v>20130925</v>
      </c>
      <c r="C84" s="8" t="str">
        <f t="shared" si="24"/>
        <v>证券买入</v>
      </c>
      <c r="D84" s="8" t="str">
        <f t="shared" si="25"/>
        <v>000606</v>
      </c>
      <c r="E84" s="8" t="str">
        <f t="shared" si="26"/>
        <v>青海明胶</v>
      </c>
      <c r="F84" s="8">
        <v>10.05</v>
      </c>
      <c r="G84" s="8">
        <v>300</v>
      </c>
      <c r="H84" s="8">
        <v>3015</v>
      </c>
      <c r="I84" s="11">
        <v>-3020</v>
      </c>
      <c r="J84" s="8">
        <v>1002.04</v>
      </c>
      <c r="K84" s="8">
        <v>2100</v>
      </c>
    </row>
    <row r="85" spans="1:11">
      <c r="A85" s="8" t="str">
        <f>"20130926"</f>
        <v>20130926</v>
      </c>
      <c r="B85" s="8" t="str">
        <f>"20130926"</f>
        <v>20130926</v>
      </c>
      <c r="C85" s="8" t="str">
        <f t="shared" si="24"/>
        <v>证券买入</v>
      </c>
      <c r="D85" s="8" t="str">
        <f t="shared" si="25"/>
        <v>000606</v>
      </c>
      <c r="E85" s="8" t="str">
        <f t="shared" si="26"/>
        <v>青海明胶</v>
      </c>
      <c r="F85" s="8">
        <v>9.88</v>
      </c>
      <c r="G85" s="8">
        <v>100</v>
      </c>
      <c r="H85" s="8">
        <v>988</v>
      </c>
      <c r="I85" s="11">
        <v>-993</v>
      </c>
      <c r="J85" s="8">
        <v>9.04</v>
      </c>
      <c r="K85" s="8">
        <v>2200</v>
      </c>
    </row>
    <row r="86" spans="1:11">
      <c r="A86" s="8" t="str">
        <f t="shared" ref="A86:A90" si="27">"20131008"</f>
        <v>20131008</v>
      </c>
      <c r="B86" s="8" t="str">
        <f t="shared" ref="B86:B88" si="28">"20130923"</f>
        <v>20130923</v>
      </c>
      <c r="C86" s="8" t="str">
        <f t="shared" ref="C86:C88" si="29">"融券购回"</f>
        <v>融券购回</v>
      </c>
      <c r="D86" s="8" t="str">
        <f t="shared" ref="D86:D89" si="30">"131802"</f>
        <v>131802</v>
      </c>
      <c r="E86" s="8" t="str">
        <f t="shared" ref="E86:E89" si="31">"Ｒ-014"</f>
        <v>Ｒ-014</v>
      </c>
      <c r="F86" s="8">
        <v>4.61</v>
      </c>
      <c r="G86" s="8">
        <v>100</v>
      </c>
      <c r="H86" s="8">
        <v>10017.68</v>
      </c>
      <c r="I86" s="11">
        <v>10017.68</v>
      </c>
      <c r="J86" s="8">
        <v>10026.72</v>
      </c>
      <c r="K86" s="8">
        <v>0</v>
      </c>
    </row>
    <row r="87" spans="1:11">
      <c r="A87" s="8" t="str">
        <f t="shared" si="27"/>
        <v>20131008</v>
      </c>
      <c r="B87" s="8" t="str">
        <f t="shared" si="28"/>
        <v>20130923</v>
      </c>
      <c r="C87" s="8" t="str">
        <f t="shared" si="29"/>
        <v>融券购回</v>
      </c>
      <c r="D87" s="8" t="str">
        <f t="shared" si="30"/>
        <v>131802</v>
      </c>
      <c r="E87" s="8" t="str">
        <f t="shared" si="31"/>
        <v>Ｒ-014</v>
      </c>
      <c r="F87" s="8">
        <v>5.01</v>
      </c>
      <c r="G87" s="8">
        <v>100</v>
      </c>
      <c r="H87" s="8">
        <v>10019.22</v>
      </c>
      <c r="I87" s="11">
        <v>10019.22</v>
      </c>
      <c r="J87" s="8">
        <v>20045.94</v>
      </c>
      <c r="K87" s="8">
        <v>0</v>
      </c>
    </row>
    <row r="88" spans="1:11">
      <c r="A88" s="8" t="str">
        <f t="shared" si="27"/>
        <v>20131008</v>
      </c>
      <c r="B88" s="8" t="str">
        <f t="shared" si="28"/>
        <v>20130923</v>
      </c>
      <c r="C88" s="8" t="str">
        <f t="shared" si="29"/>
        <v>融券购回</v>
      </c>
      <c r="D88" s="8" t="str">
        <f t="shared" si="30"/>
        <v>131802</v>
      </c>
      <c r="E88" s="8" t="str">
        <f t="shared" si="31"/>
        <v>Ｒ-014</v>
      </c>
      <c r="F88" s="8">
        <v>5.3</v>
      </c>
      <c r="G88" s="8">
        <v>100</v>
      </c>
      <c r="H88" s="8">
        <v>10020.33</v>
      </c>
      <c r="I88" s="11">
        <v>10020.33</v>
      </c>
      <c r="J88" s="8">
        <v>30066.27</v>
      </c>
      <c r="K88" s="8">
        <v>0</v>
      </c>
    </row>
    <row r="89" spans="1:11">
      <c r="A89" s="8" t="str">
        <f t="shared" si="27"/>
        <v>20131008</v>
      </c>
      <c r="B89" s="8" t="str">
        <f t="shared" ref="B89:B94" si="32">"20131008"</f>
        <v>20131008</v>
      </c>
      <c r="C89" s="8" t="str">
        <f t="shared" ref="C89:C93" si="33">"融券回购"</f>
        <v>融券回购</v>
      </c>
      <c r="D89" s="8" t="str">
        <f t="shared" si="30"/>
        <v>131802</v>
      </c>
      <c r="E89" s="8" t="str">
        <f t="shared" si="31"/>
        <v>Ｒ-014</v>
      </c>
      <c r="F89" s="8">
        <v>4.55</v>
      </c>
      <c r="G89" s="8">
        <v>100</v>
      </c>
      <c r="H89" s="8">
        <v>10000</v>
      </c>
      <c r="I89" s="11">
        <v>-10001</v>
      </c>
      <c r="J89" s="8">
        <v>20065.27</v>
      </c>
      <c r="K89" s="8">
        <v>0</v>
      </c>
    </row>
    <row r="90" spans="1:11">
      <c r="A90" s="8" t="str">
        <f t="shared" si="27"/>
        <v>20131008</v>
      </c>
      <c r="B90" s="8" t="str">
        <f t="shared" si="32"/>
        <v>20131008</v>
      </c>
      <c r="C90" s="8" t="str">
        <f t="shared" si="33"/>
        <v>融券回购</v>
      </c>
      <c r="D90" s="8" t="str">
        <f t="shared" ref="D90:D94" si="34">"131801"</f>
        <v>131801</v>
      </c>
      <c r="E90" s="8" t="str">
        <f t="shared" ref="E90:E94" si="35">"Ｒ-007"</f>
        <v>Ｒ-007</v>
      </c>
      <c r="F90" s="8">
        <v>4.77</v>
      </c>
      <c r="G90" s="8">
        <v>50</v>
      </c>
      <c r="H90" s="8">
        <v>5000</v>
      </c>
      <c r="I90" s="11">
        <v>-5000.25</v>
      </c>
      <c r="J90" s="8">
        <v>15065.02</v>
      </c>
      <c r="K90" s="8">
        <v>0</v>
      </c>
    </row>
    <row r="91" spans="1:11">
      <c r="A91" s="8" t="str">
        <f t="shared" ref="A91:A93" si="36">"20131009"</f>
        <v>20131009</v>
      </c>
      <c r="B91" s="8" t="str">
        <f t="shared" ref="B91:B93" si="37">"20131009"</f>
        <v>20131009</v>
      </c>
      <c r="C91" s="8" t="str">
        <f t="shared" si="33"/>
        <v>融券回购</v>
      </c>
      <c r="D91" s="8" t="str">
        <f t="shared" si="34"/>
        <v>131801</v>
      </c>
      <c r="E91" s="8" t="str">
        <f t="shared" si="35"/>
        <v>Ｒ-007</v>
      </c>
      <c r="F91" s="8">
        <v>6.1</v>
      </c>
      <c r="G91" s="8">
        <v>50</v>
      </c>
      <c r="H91" s="8">
        <v>5000</v>
      </c>
      <c r="I91" s="11">
        <v>-5000.25</v>
      </c>
      <c r="J91" s="8">
        <v>10064.77</v>
      </c>
      <c r="K91" s="8">
        <v>0</v>
      </c>
    </row>
    <row r="92" spans="1:11">
      <c r="A92" s="8" t="str">
        <f t="shared" si="36"/>
        <v>20131009</v>
      </c>
      <c r="B92" s="8" t="str">
        <f t="shared" si="37"/>
        <v>20131009</v>
      </c>
      <c r="C92" s="8" t="str">
        <f t="shared" si="33"/>
        <v>融券回购</v>
      </c>
      <c r="D92" s="8" t="str">
        <f>"131802"</f>
        <v>131802</v>
      </c>
      <c r="E92" s="8" t="str">
        <f>"Ｒ-014"</f>
        <v>Ｒ-014</v>
      </c>
      <c r="F92" s="8">
        <v>5.1</v>
      </c>
      <c r="G92" s="8">
        <v>40</v>
      </c>
      <c r="H92" s="8">
        <v>4000</v>
      </c>
      <c r="I92" s="11">
        <v>-4000.4</v>
      </c>
      <c r="J92" s="8">
        <v>6064.37</v>
      </c>
      <c r="K92" s="8">
        <v>0</v>
      </c>
    </row>
    <row r="93" spans="1:11">
      <c r="A93" s="8" t="str">
        <f t="shared" si="36"/>
        <v>20131009</v>
      </c>
      <c r="B93" s="8" t="str">
        <f t="shared" si="37"/>
        <v>20131009</v>
      </c>
      <c r="C93" s="8" t="str">
        <f t="shared" si="33"/>
        <v>融券回购</v>
      </c>
      <c r="D93" s="8" t="str">
        <f t="shared" si="34"/>
        <v>131801</v>
      </c>
      <c r="E93" s="8" t="str">
        <f t="shared" si="35"/>
        <v>Ｒ-007</v>
      </c>
      <c r="F93" s="8">
        <v>6.9</v>
      </c>
      <c r="G93" s="8">
        <v>60</v>
      </c>
      <c r="H93" s="8">
        <v>6000</v>
      </c>
      <c r="I93" s="11">
        <v>-6000.3</v>
      </c>
      <c r="J93" s="8">
        <v>64.07</v>
      </c>
      <c r="K93" s="8">
        <v>0</v>
      </c>
    </row>
    <row r="94" spans="1:11">
      <c r="A94" s="8" t="str">
        <f>"20131015"</f>
        <v>20131015</v>
      </c>
      <c r="B94" s="8" t="str">
        <f t="shared" si="32"/>
        <v>20131008</v>
      </c>
      <c r="C94" s="8" t="str">
        <f t="shared" ref="C94:C97" si="38">"融券购回"</f>
        <v>融券购回</v>
      </c>
      <c r="D94" s="8" t="str">
        <f t="shared" si="34"/>
        <v>131801</v>
      </c>
      <c r="E94" s="8" t="str">
        <f t="shared" si="35"/>
        <v>Ｒ-007</v>
      </c>
      <c r="F94" s="8">
        <v>4.77</v>
      </c>
      <c r="G94" s="8">
        <v>50</v>
      </c>
      <c r="H94" s="8">
        <v>5004.57</v>
      </c>
      <c r="I94" s="11">
        <v>5004.57</v>
      </c>
      <c r="J94" s="8">
        <v>5068.64</v>
      </c>
      <c r="K94" s="8">
        <v>0</v>
      </c>
    </row>
    <row r="95" spans="1:11">
      <c r="A95" s="8" t="str">
        <f>"20131015"</f>
        <v>20131015</v>
      </c>
      <c r="B95" s="8" t="str">
        <f>"20131015"</f>
        <v>20131015</v>
      </c>
      <c r="C95" s="8" t="str">
        <f t="shared" ref="C95:C99" si="39">"证券买入"</f>
        <v>证券买入</v>
      </c>
      <c r="D95" s="8" t="str">
        <f>"601607"</f>
        <v>601607</v>
      </c>
      <c r="E95" s="8" t="str">
        <f>"上海医药"</f>
        <v>上海医药</v>
      </c>
      <c r="F95" s="8">
        <v>15.56</v>
      </c>
      <c r="G95" s="8">
        <v>300</v>
      </c>
      <c r="H95" s="8">
        <v>4668</v>
      </c>
      <c r="I95" s="11">
        <v>-4673.31</v>
      </c>
      <c r="J95" s="8">
        <v>395.33</v>
      </c>
      <c r="K95" s="8">
        <v>300</v>
      </c>
    </row>
    <row r="96" spans="1:11">
      <c r="A96" s="8" t="str">
        <f t="shared" ref="A96:A99" si="40">"20131016"</f>
        <v>20131016</v>
      </c>
      <c r="B96" s="8" t="str">
        <f>"20131009"</f>
        <v>20131009</v>
      </c>
      <c r="C96" s="8" t="str">
        <f t="shared" si="38"/>
        <v>融券购回</v>
      </c>
      <c r="D96" s="8" t="str">
        <f>"131801"</f>
        <v>131801</v>
      </c>
      <c r="E96" s="8" t="str">
        <f>"Ｒ-007"</f>
        <v>Ｒ-007</v>
      </c>
      <c r="F96" s="8">
        <v>6.1</v>
      </c>
      <c r="G96" s="8">
        <v>50</v>
      </c>
      <c r="H96" s="8">
        <v>5005.85</v>
      </c>
      <c r="I96" s="11">
        <v>5005.85</v>
      </c>
      <c r="J96" s="8">
        <v>5401.18</v>
      </c>
      <c r="K96" s="8">
        <v>0</v>
      </c>
    </row>
    <row r="97" spans="1:11">
      <c r="A97" s="8" t="str">
        <f t="shared" si="40"/>
        <v>20131016</v>
      </c>
      <c r="B97" s="8" t="str">
        <f>"20131009"</f>
        <v>20131009</v>
      </c>
      <c r="C97" s="8" t="str">
        <f t="shared" si="38"/>
        <v>融券购回</v>
      </c>
      <c r="D97" s="8" t="str">
        <f>"131801"</f>
        <v>131801</v>
      </c>
      <c r="E97" s="8" t="str">
        <f>"Ｒ-007"</f>
        <v>Ｒ-007</v>
      </c>
      <c r="F97" s="8">
        <v>6.9</v>
      </c>
      <c r="G97" s="8">
        <v>60</v>
      </c>
      <c r="H97" s="8">
        <v>6007.94</v>
      </c>
      <c r="I97" s="11">
        <v>6007.94</v>
      </c>
      <c r="J97" s="8">
        <v>11409.12</v>
      </c>
      <c r="K97" s="8">
        <v>0</v>
      </c>
    </row>
    <row r="98" spans="1:11">
      <c r="A98" s="8" t="str">
        <f t="shared" si="40"/>
        <v>20131016</v>
      </c>
      <c r="B98" s="8" t="str">
        <f>"20131016"</f>
        <v>20131016</v>
      </c>
      <c r="C98" s="8" t="str">
        <f t="shared" si="39"/>
        <v>证券买入</v>
      </c>
      <c r="D98" s="8" t="str">
        <f>"002500"</f>
        <v>002500</v>
      </c>
      <c r="E98" s="8" t="str">
        <f>"山西证券"</f>
        <v>山西证券</v>
      </c>
      <c r="F98" s="8">
        <v>6.52</v>
      </c>
      <c r="G98" s="8">
        <v>600</v>
      </c>
      <c r="H98" s="8">
        <v>3912</v>
      </c>
      <c r="I98" s="11">
        <v>-3917</v>
      </c>
      <c r="J98" s="8">
        <v>7492.12</v>
      </c>
      <c r="K98" s="8">
        <v>600</v>
      </c>
    </row>
    <row r="99" spans="1:11">
      <c r="A99" s="8" t="str">
        <f t="shared" si="40"/>
        <v>20131016</v>
      </c>
      <c r="B99" s="8" t="str">
        <f>"20131016"</f>
        <v>20131016</v>
      </c>
      <c r="C99" s="8" t="str">
        <f t="shared" si="39"/>
        <v>证券买入</v>
      </c>
      <c r="D99" s="8" t="str">
        <f>"601607"</f>
        <v>601607</v>
      </c>
      <c r="E99" s="8" t="str">
        <f>"上海医药"</f>
        <v>上海医药</v>
      </c>
      <c r="F99" s="8">
        <v>15.69</v>
      </c>
      <c r="G99" s="8">
        <v>400</v>
      </c>
      <c r="H99" s="8">
        <v>6276</v>
      </c>
      <c r="I99" s="11">
        <v>-6283.14</v>
      </c>
      <c r="J99" s="8">
        <v>1208.98</v>
      </c>
      <c r="K99" s="8">
        <v>700</v>
      </c>
    </row>
    <row r="100" spans="1:11">
      <c r="A100" s="8" t="str">
        <f>"20131021"</f>
        <v>20131021</v>
      </c>
      <c r="B100" s="8" t="str">
        <f>"20130923"</f>
        <v>20130923</v>
      </c>
      <c r="C100" s="8" t="str">
        <f t="shared" ref="C100:C102" si="41">"融券购回"</f>
        <v>融券购回</v>
      </c>
      <c r="D100" s="8" t="str">
        <f>"131803"</f>
        <v>131803</v>
      </c>
      <c r="E100" s="8" t="str">
        <f>"Ｒ-028"</f>
        <v>Ｒ-028</v>
      </c>
      <c r="F100" s="8">
        <v>4.355</v>
      </c>
      <c r="G100" s="8">
        <v>50</v>
      </c>
      <c r="H100" s="8">
        <v>5016.7</v>
      </c>
      <c r="I100" s="11">
        <v>5016.7</v>
      </c>
      <c r="J100" s="8">
        <v>6225.68</v>
      </c>
      <c r="K100" s="8">
        <v>0</v>
      </c>
    </row>
    <row r="101" spans="1:11">
      <c r="A101" s="8" t="str">
        <f>"20131022"</f>
        <v>20131022</v>
      </c>
      <c r="B101" s="8" t="str">
        <f>"20131008"</f>
        <v>20131008</v>
      </c>
      <c r="C101" s="8" t="str">
        <f t="shared" si="41"/>
        <v>融券购回</v>
      </c>
      <c r="D101" s="8" t="str">
        <f>"131802"</f>
        <v>131802</v>
      </c>
      <c r="E101" s="8" t="str">
        <f>"Ｒ-014"</f>
        <v>Ｒ-014</v>
      </c>
      <c r="F101" s="8">
        <v>4.55</v>
      </c>
      <c r="G101" s="8">
        <v>100</v>
      </c>
      <c r="H101" s="8">
        <v>10017.45</v>
      </c>
      <c r="I101" s="11">
        <v>10017.45</v>
      </c>
      <c r="J101" s="8">
        <v>16243.13</v>
      </c>
      <c r="K101" s="8">
        <v>0</v>
      </c>
    </row>
    <row r="102" spans="1:11">
      <c r="A102" s="8" t="str">
        <f>"20131023"</f>
        <v>20131023</v>
      </c>
      <c r="B102" s="8" t="str">
        <f>"20131009"</f>
        <v>20131009</v>
      </c>
      <c r="C102" s="8" t="str">
        <f t="shared" si="41"/>
        <v>融券购回</v>
      </c>
      <c r="D102" s="8" t="str">
        <f>"131802"</f>
        <v>131802</v>
      </c>
      <c r="E102" s="8" t="str">
        <f>"Ｒ-014"</f>
        <v>Ｒ-014</v>
      </c>
      <c r="F102" s="8">
        <v>5.1</v>
      </c>
      <c r="G102" s="8">
        <v>40</v>
      </c>
      <c r="H102" s="8">
        <v>4007.82</v>
      </c>
      <c r="I102" s="11">
        <v>4007.82</v>
      </c>
      <c r="J102" s="8">
        <v>20250.95</v>
      </c>
      <c r="K102" s="8">
        <v>0</v>
      </c>
    </row>
    <row r="103" spans="1:11">
      <c r="A103" s="8" t="str">
        <f>"20131023"</f>
        <v>20131023</v>
      </c>
      <c r="B103" s="8" t="str">
        <f>"20131023"</f>
        <v>20131023</v>
      </c>
      <c r="C103" s="8" t="str">
        <f t="shared" ref="C103:C107" si="42">"证券买入"</f>
        <v>证券买入</v>
      </c>
      <c r="D103" s="8" t="str">
        <f>"601607"</f>
        <v>601607</v>
      </c>
      <c r="E103" s="8" t="str">
        <f>"上海医药"</f>
        <v>上海医药</v>
      </c>
      <c r="F103" s="8">
        <v>14.45</v>
      </c>
      <c r="G103" s="8">
        <v>300</v>
      </c>
      <c r="H103" s="8">
        <v>4335</v>
      </c>
      <c r="I103" s="11">
        <v>-4340.18</v>
      </c>
      <c r="J103" s="8">
        <v>15910.77</v>
      </c>
      <c r="K103" s="8">
        <v>1000</v>
      </c>
    </row>
    <row r="104" spans="1:11">
      <c r="A104" s="8" t="str">
        <f>"20131024"</f>
        <v>20131024</v>
      </c>
      <c r="B104" s="8" t="str">
        <f>"20131024"</f>
        <v>20131024</v>
      </c>
      <c r="C104" s="8" t="str">
        <f>"证券转银行"</f>
        <v>证券转银行</v>
      </c>
      <c r="D104" s="8"/>
      <c r="E104" s="8"/>
      <c r="F104" s="8">
        <v>0</v>
      </c>
      <c r="G104" s="8">
        <v>0</v>
      </c>
      <c r="H104" s="8">
        <v>0</v>
      </c>
      <c r="I104" s="11">
        <v>-251</v>
      </c>
      <c r="J104" s="8">
        <v>15659.77</v>
      </c>
      <c r="K104" s="8">
        <v>0</v>
      </c>
    </row>
    <row r="105" spans="1:11">
      <c r="A105" s="8" t="str">
        <f>"20131029"</f>
        <v>20131029</v>
      </c>
      <c r="B105" s="8" t="str">
        <f>"20131029"</f>
        <v>20131029</v>
      </c>
      <c r="C105" s="8" t="str">
        <f t="shared" si="42"/>
        <v>证券买入</v>
      </c>
      <c r="D105" s="8" t="str">
        <f>"601607"</f>
        <v>601607</v>
      </c>
      <c r="E105" s="8" t="str">
        <f>"上海医药"</f>
        <v>上海医药</v>
      </c>
      <c r="F105" s="8">
        <v>13.6</v>
      </c>
      <c r="G105" s="8">
        <v>300</v>
      </c>
      <c r="H105" s="8">
        <v>4080</v>
      </c>
      <c r="I105" s="11">
        <v>-4085.18</v>
      </c>
      <c r="J105" s="8">
        <v>11574.59</v>
      </c>
      <c r="K105" s="8">
        <v>1300</v>
      </c>
    </row>
    <row r="106" spans="1:11">
      <c r="A106" s="8" t="str">
        <f t="shared" ref="A106:A109" si="43">"20131101"</f>
        <v>20131101</v>
      </c>
      <c r="B106" s="8" t="str">
        <f t="shared" ref="B106:B109" si="44">"20131101"</f>
        <v>20131101</v>
      </c>
      <c r="C106" s="8" t="str">
        <f t="shared" si="42"/>
        <v>证券买入</v>
      </c>
      <c r="D106" s="8" t="str">
        <f t="shared" ref="D106:D123" si="45">"000606"</f>
        <v>000606</v>
      </c>
      <c r="E106" s="8" t="str">
        <f t="shared" ref="E106:E123" si="46">"青海明胶"</f>
        <v>青海明胶</v>
      </c>
      <c r="F106" s="8">
        <v>7.22</v>
      </c>
      <c r="G106" s="8">
        <v>500</v>
      </c>
      <c r="H106" s="8">
        <v>3610</v>
      </c>
      <c r="I106" s="11">
        <v>-3615</v>
      </c>
      <c r="J106" s="8">
        <v>7959.59</v>
      </c>
      <c r="K106" s="8">
        <v>2700</v>
      </c>
    </row>
    <row r="107" spans="1:11">
      <c r="A107" s="8" t="str">
        <f t="shared" si="43"/>
        <v>20131101</v>
      </c>
      <c r="B107" s="8" t="str">
        <f t="shared" si="44"/>
        <v>20131101</v>
      </c>
      <c r="C107" s="8" t="str">
        <f t="shared" si="42"/>
        <v>证券买入</v>
      </c>
      <c r="D107" s="8" t="str">
        <f t="shared" si="45"/>
        <v>000606</v>
      </c>
      <c r="E107" s="8" t="str">
        <f t="shared" si="46"/>
        <v>青海明胶</v>
      </c>
      <c r="F107" s="8">
        <v>7.3</v>
      </c>
      <c r="G107" s="8">
        <v>1000</v>
      </c>
      <c r="H107" s="8">
        <v>7300</v>
      </c>
      <c r="I107" s="11">
        <v>-7308.03</v>
      </c>
      <c r="J107" s="8">
        <v>651.56</v>
      </c>
      <c r="K107" s="8">
        <v>3700</v>
      </c>
    </row>
    <row r="108" spans="1:11">
      <c r="A108" s="8" t="str">
        <f t="shared" si="43"/>
        <v>20131101</v>
      </c>
      <c r="B108" s="8" t="str">
        <f t="shared" si="44"/>
        <v>20131101</v>
      </c>
      <c r="C108" s="8" t="str">
        <f t="shared" ref="C108:C111" si="47">"证券卖出"</f>
        <v>证券卖出</v>
      </c>
      <c r="D108" s="8" t="str">
        <f t="shared" si="45"/>
        <v>000606</v>
      </c>
      <c r="E108" s="8" t="str">
        <f t="shared" si="46"/>
        <v>青海明胶</v>
      </c>
      <c r="F108" s="8">
        <v>7.51</v>
      </c>
      <c r="G108" s="8">
        <v>500</v>
      </c>
      <c r="H108" s="8">
        <v>3755</v>
      </c>
      <c r="I108" s="11">
        <v>3746.24</v>
      </c>
      <c r="J108" s="8">
        <v>4397.8</v>
      </c>
      <c r="K108" s="8">
        <v>3200</v>
      </c>
    </row>
    <row r="109" spans="1:11">
      <c r="A109" s="8" t="str">
        <f t="shared" si="43"/>
        <v>20131101</v>
      </c>
      <c r="B109" s="8" t="str">
        <f t="shared" si="44"/>
        <v>20131101</v>
      </c>
      <c r="C109" s="8" t="str">
        <f t="shared" si="47"/>
        <v>证券卖出</v>
      </c>
      <c r="D109" s="8" t="str">
        <f t="shared" si="45"/>
        <v>000606</v>
      </c>
      <c r="E109" s="8" t="str">
        <f t="shared" si="46"/>
        <v>青海明胶</v>
      </c>
      <c r="F109" s="8">
        <v>7.48</v>
      </c>
      <c r="G109" s="8">
        <v>300</v>
      </c>
      <c r="H109" s="8">
        <v>2244</v>
      </c>
      <c r="I109" s="11">
        <v>2236.76</v>
      </c>
      <c r="J109" s="8">
        <v>6634.56</v>
      </c>
      <c r="K109" s="8">
        <v>2900</v>
      </c>
    </row>
    <row r="110" spans="1:11">
      <c r="A110" s="8" t="str">
        <f>"20131107"</f>
        <v>20131107</v>
      </c>
      <c r="B110" s="8" t="str">
        <f>"20131107"</f>
        <v>20131107</v>
      </c>
      <c r="C110" s="8" t="str">
        <f t="shared" si="47"/>
        <v>证券卖出</v>
      </c>
      <c r="D110" s="8" t="str">
        <f t="shared" si="45"/>
        <v>000606</v>
      </c>
      <c r="E110" s="8" t="str">
        <f t="shared" si="46"/>
        <v>青海明胶</v>
      </c>
      <c r="F110" s="8">
        <v>7.7</v>
      </c>
      <c r="G110" s="8">
        <v>200</v>
      </c>
      <c r="H110" s="8">
        <v>1540</v>
      </c>
      <c r="I110" s="11">
        <v>1533.46</v>
      </c>
      <c r="J110" s="8">
        <v>8168.02</v>
      </c>
      <c r="K110" s="8">
        <v>2700</v>
      </c>
    </row>
    <row r="111" spans="1:11">
      <c r="A111" s="8" t="str">
        <f>"20131107"</f>
        <v>20131107</v>
      </c>
      <c r="B111" s="8" t="str">
        <f>"20131107"</f>
        <v>20131107</v>
      </c>
      <c r="C111" s="8" t="str">
        <f t="shared" si="47"/>
        <v>证券卖出</v>
      </c>
      <c r="D111" s="8" t="str">
        <f t="shared" si="45"/>
        <v>000606</v>
      </c>
      <c r="E111" s="8" t="str">
        <f t="shared" si="46"/>
        <v>青海明胶</v>
      </c>
      <c r="F111" s="8">
        <v>7.65</v>
      </c>
      <c r="G111" s="8">
        <v>500</v>
      </c>
      <c r="H111" s="8">
        <v>3825</v>
      </c>
      <c r="I111" s="11">
        <v>3816.17</v>
      </c>
      <c r="J111" s="8">
        <v>11984.19</v>
      </c>
      <c r="K111" s="8">
        <v>2200</v>
      </c>
    </row>
    <row r="112" spans="1:11">
      <c r="A112" s="8" t="str">
        <f t="shared" ref="A112:A117" si="48">"20131111"</f>
        <v>20131111</v>
      </c>
      <c r="B112" s="8" t="str">
        <f t="shared" ref="B112:B117" si="49">"20131111"</f>
        <v>20131111</v>
      </c>
      <c r="C112" s="8" t="str">
        <f t="shared" ref="C112:C116" si="50">"证券买入"</f>
        <v>证券买入</v>
      </c>
      <c r="D112" s="8" t="str">
        <f t="shared" si="45"/>
        <v>000606</v>
      </c>
      <c r="E112" s="8" t="str">
        <f t="shared" si="46"/>
        <v>青海明胶</v>
      </c>
      <c r="F112" s="8">
        <v>7.62</v>
      </c>
      <c r="G112" s="8">
        <v>600</v>
      </c>
      <c r="H112" s="8">
        <v>4572</v>
      </c>
      <c r="I112" s="11">
        <v>-4577.03</v>
      </c>
      <c r="J112" s="8">
        <v>7407.16</v>
      </c>
      <c r="K112" s="8">
        <v>2800</v>
      </c>
    </row>
    <row r="113" spans="1:11">
      <c r="A113" s="8" t="str">
        <f t="shared" si="48"/>
        <v>20131111</v>
      </c>
      <c r="B113" s="8" t="str">
        <f t="shared" si="49"/>
        <v>20131111</v>
      </c>
      <c r="C113" s="8" t="str">
        <f t="shared" si="50"/>
        <v>证券买入</v>
      </c>
      <c r="D113" s="8" t="str">
        <f t="shared" si="45"/>
        <v>000606</v>
      </c>
      <c r="E113" s="8" t="str">
        <f t="shared" si="46"/>
        <v>青海明胶</v>
      </c>
      <c r="F113" s="8">
        <v>7.34</v>
      </c>
      <c r="G113" s="8">
        <v>500</v>
      </c>
      <c r="H113" s="8">
        <v>3670</v>
      </c>
      <c r="I113" s="11">
        <v>-3675</v>
      </c>
      <c r="J113" s="8">
        <v>3732.16</v>
      </c>
      <c r="K113" s="8">
        <v>3300</v>
      </c>
    </row>
    <row r="114" spans="1:11">
      <c r="A114" s="8" t="str">
        <f t="shared" si="48"/>
        <v>20131111</v>
      </c>
      <c r="B114" s="8" t="str">
        <f t="shared" si="49"/>
        <v>20131111</v>
      </c>
      <c r="C114" s="8" t="str">
        <f t="shared" ref="C114:C117" si="51">"证券卖出"</f>
        <v>证券卖出</v>
      </c>
      <c r="D114" s="8" t="str">
        <f t="shared" si="45"/>
        <v>000606</v>
      </c>
      <c r="E114" s="8" t="str">
        <f t="shared" si="46"/>
        <v>青海明胶</v>
      </c>
      <c r="F114" s="8">
        <v>7.45</v>
      </c>
      <c r="G114" s="8">
        <v>500</v>
      </c>
      <c r="H114" s="8">
        <v>3725</v>
      </c>
      <c r="I114" s="11">
        <v>3716.27</v>
      </c>
      <c r="J114" s="8">
        <v>7448.43</v>
      </c>
      <c r="K114" s="8">
        <v>2800</v>
      </c>
    </row>
    <row r="115" spans="1:11">
      <c r="A115" s="8" t="str">
        <f t="shared" si="48"/>
        <v>20131111</v>
      </c>
      <c r="B115" s="8" t="str">
        <f t="shared" si="49"/>
        <v>20131111</v>
      </c>
      <c r="C115" s="8" t="str">
        <f t="shared" si="51"/>
        <v>证券卖出</v>
      </c>
      <c r="D115" s="8" t="str">
        <f t="shared" si="45"/>
        <v>000606</v>
      </c>
      <c r="E115" s="8" t="str">
        <f t="shared" si="46"/>
        <v>青海明胶</v>
      </c>
      <c r="F115" s="8">
        <v>7.57</v>
      </c>
      <c r="G115" s="8">
        <v>600</v>
      </c>
      <c r="H115" s="8">
        <v>4542</v>
      </c>
      <c r="I115" s="11">
        <v>4532.46</v>
      </c>
      <c r="J115" s="8">
        <v>11980.89</v>
      </c>
      <c r="K115" s="8">
        <v>2200</v>
      </c>
    </row>
    <row r="116" spans="1:11">
      <c r="A116" s="8" t="str">
        <f t="shared" si="48"/>
        <v>20131111</v>
      </c>
      <c r="B116" s="8" t="str">
        <f t="shared" si="49"/>
        <v>20131111</v>
      </c>
      <c r="C116" s="8" t="str">
        <f t="shared" si="50"/>
        <v>证券买入</v>
      </c>
      <c r="D116" s="8" t="str">
        <f t="shared" si="45"/>
        <v>000606</v>
      </c>
      <c r="E116" s="8" t="str">
        <f t="shared" si="46"/>
        <v>青海明胶</v>
      </c>
      <c r="F116" s="8">
        <v>7.43</v>
      </c>
      <c r="G116" s="8">
        <v>600</v>
      </c>
      <c r="H116" s="8">
        <v>4458</v>
      </c>
      <c r="I116" s="11">
        <v>-4463</v>
      </c>
      <c r="J116" s="8">
        <v>7517.89</v>
      </c>
      <c r="K116" s="8">
        <v>2800</v>
      </c>
    </row>
    <row r="117" spans="1:11">
      <c r="A117" s="8" t="str">
        <f t="shared" si="48"/>
        <v>20131111</v>
      </c>
      <c r="B117" s="8" t="str">
        <f t="shared" si="49"/>
        <v>20131111</v>
      </c>
      <c r="C117" s="8" t="str">
        <f t="shared" si="51"/>
        <v>证券卖出</v>
      </c>
      <c r="D117" s="8" t="str">
        <f t="shared" si="45"/>
        <v>000606</v>
      </c>
      <c r="E117" s="8" t="str">
        <f t="shared" si="46"/>
        <v>青海明胶</v>
      </c>
      <c r="F117" s="8">
        <v>7.73</v>
      </c>
      <c r="G117" s="8">
        <v>600</v>
      </c>
      <c r="H117" s="8">
        <v>4638</v>
      </c>
      <c r="I117" s="11">
        <v>4628.26</v>
      </c>
      <c r="J117" s="8">
        <v>12146.15</v>
      </c>
      <c r="K117" s="8">
        <v>2200</v>
      </c>
    </row>
    <row r="118" spans="1:11">
      <c r="A118" s="8" t="str">
        <f>"20131112"</f>
        <v>20131112</v>
      </c>
      <c r="B118" s="8" t="str">
        <f>"20131112"</f>
        <v>20131112</v>
      </c>
      <c r="C118" s="8" t="str">
        <f t="shared" ref="C118:C123" si="52">"证券买入"</f>
        <v>证券买入</v>
      </c>
      <c r="D118" s="8" t="str">
        <f t="shared" si="45"/>
        <v>000606</v>
      </c>
      <c r="E118" s="8" t="str">
        <f t="shared" si="46"/>
        <v>青海明胶</v>
      </c>
      <c r="F118" s="8">
        <v>7.63</v>
      </c>
      <c r="G118" s="8">
        <v>600</v>
      </c>
      <c r="H118" s="8">
        <v>4578</v>
      </c>
      <c r="I118" s="11">
        <v>-4583.04</v>
      </c>
      <c r="J118" s="8">
        <v>7563.11</v>
      </c>
      <c r="K118" s="8">
        <v>2800</v>
      </c>
    </row>
    <row r="119" spans="1:11">
      <c r="A119" s="8" t="str">
        <f t="shared" ref="A119:A122" si="53">"20131113"</f>
        <v>20131113</v>
      </c>
      <c r="B119" s="8" t="str">
        <f t="shared" ref="B119:B122" si="54">"20131113"</f>
        <v>20131113</v>
      </c>
      <c r="C119" s="8" t="str">
        <f t="shared" ref="C119:C122" si="55">"证券卖出"</f>
        <v>证券卖出</v>
      </c>
      <c r="D119" s="8" t="str">
        <f t="shared" si="45"/>
        <v>000606</v>
      </c>
      <c r="E119" s="8" t="str">
        <f t="shared" si="46"/>
        <v>青海明胶</v>
      </c>
      <c r="F119" s="8">
        <v>7.78</v>
      </c>
      <c r="G119" s="8">
        <v>600</v>
      </c>
      <c r="H119" s="8">
        <v>4668</v>
      </c>
      <c r="I119" s="11">
        <v>4658.2</v>
      </c>
      <c r="J119" s="8">
        <v>12221.31</v>
      </c>
      <c r="K119" s="8">
        <v>2200</v>
      </c>
    </row>
    <row r="120" spans="1:11">
      <c r="A120" s="8" t="str">
        <f t="shared" si="53"/>
        <v>20131113</v>
      </c>
      <c r="B120" s="8" t="str">
        <f t="shared" si="54"/>
        <v>20131113</v>
      </c>
      <c r="C120" s="8" t="str">
        <f t="shared" si="52"/>
        <v>证券买入</v>
      </c>
      <c r="D120" s="8" t="str">
        <f t="shared" si="45"/>
        <v>000606</v>
      </c>
      <c r="E120" s="8" t="str">
        <f t="shared" si="46"/>
        <v>青海明胶</v>
      </c>
      <c r="F120" s="8">
        <v>7.83</v>
      </c>
      <c r="G120" s="8">
        <v>1000</v>
      </c>
      <c r="H120" s="8">
        <v>7830</v>
      </c>
      <c r="I120" s="11">
        <v>-7838.61</v>
      </c>
      <c r="J120" s="8">
        <v>4382.7</v>
      </c>
      <c r="K120" s="8">
        <v>3200</v>
      </c>
    </row>
    <row r="121" spans="1:11">
      <c r="A121" s="8" t="str">
        <f t="shared" si="53"/>
        <v>20131113</v>
      </c>
      <c r="B121" s="8" t="str">
        <f t="shared" si="54"/>
        <v>20131113</v>
      </c>
      <c r="C121" s="8" t="str">
        <f t="shared" si="55"/>
        <v>证券卖出</v>
      </c>
      <c r="D121" s="8" t="str">
        <f t="shared" si="45"/>
        <v>000606</v>
      </c>
      <c r="E121" s="8" t="str">
        <f t="shared" si="46"/>
        <v>青海明胶</v>
      </c>
      <c r="F121" s="8">
        <v>7.91</v>
      </c>
      <c r="G121" s="8">
        <v>400</v>
      </c>
      <c r="H121" s="8">
        <v>3164</v>
      </c>
      <c r="I121" s="11">
        <v>3155.84</v>
      </c>
      <c r="J121" s="8">
        <v>7538.54</v>
      </c>
      <c r="K121" s="8">
        <v>2800</v>
      </c>
    </row>
    <row r="122" spans="1:11">
      <c r="A122" s="8" t="str">
        <f t="shared" si="53"/>
        <v>20131113</v>
      </c>
      <c r="B122" s="8" t="str">
        <f t="shared" si="54"/>
        <v>20131113</v>
      </c>
      <c r="C122" s="8" t="str">
        <f t="shared" si="55"/>
        <v>证券卖出</v>
      </c>
      <c r="D122" s="8" t="str">
        <f t="shared" si="45"/>
        <v>000606</v>
      </c>
      <c r="E122" s="8" t="str">
        <f t="shared" si="46"/>
        <v>青海明胶</v>
      </c>
      <c r="F122" s="8">
        <v>7.78</v>
      </c>
      <c r="G122" s="8">
        <v>600</v>
      </c>
      <c r="H122" s="8">
        <v>4668</v>
      </c>
      <c r="I122" s="11">
        <v>4658.2</v>
      </c>
      <c r="J122" s="8">
        <v>12196.74</v>
      </c>
      <c r="K122" s="8">
        <v>2200</v>
      </c>
    </row>
    <row r="123" spans="1:11">
      <c r="A123" s="8" t="str">
        <f>"20131115"</f>
        <v>20131115</v>
      </c>
      <c r="B123" s="8" t="str">
        <f>"20131115"</f>
        <v>20131115</v>
      </c>
      <c r="C123" s="8" t="str">
        <f t="shared" si="52"/>
        <v>证券买入</v>
      </c>
      <c r="D123" s="8" t="str">
        <f t="shared" si="45"/>
        <v>000606</v>
      </c>
      <c r="E123" s="8" t="str">
        <f t="shared" si="46"/>
        <v>青海明胶</v>
      </c>
      <c r="F123" s="8">
        <v>7.647</v>
      </c>
      <c r="G123" s="8">
        <v>600</v>
      </c>
      <c r="H123" s="8">
        <v>4588</v>
      </c>
      <c r="I123" s="11">
        <v>-4593.05</v>
      </c>
      <c r="J123" s="8">
        <v>7603.69</v>
      </c>
      <c r="K123" s="8">
        <v>2800</v>
      </c>
    </row>
    <row r="124" spans="1:11">
      <c r="A124" s="8" t="str">
        <f>"20131118"</f>
        <v>20131118</v>
      </c>
      <c r="B124" s="8" t="str">
        <f>"20131118"</f>
        <v>20131118</v>
      </c>
      <c r="C124" s="8" t="str">
        <f t="shared" ref="C124:C127" si="56">"证券卖出"</f>
        <v>证券卖出</v>
      </c>
      <c r="D124" s="8" t="str">
        <f t="shared" ref="D124:D131" si="57">"601607"</f>
        <v>601607</v>
      </c>
      <c r="E124" s="8" t="str">
        <f t="shared" ref="E124:E131" si="58">"上海医药"</f>
        <v>上海医药</v>
      </c>
      <c r="F124" s="8">
        <v>15.41</v>
      </c>
      <c r="G124" s="8">
        <v>300</v>
      </c>
      <c r="H124" s="8">
        <v>4623</v>
      </c>
      <c r="I124" s="11">
        <v>4613.11</v>
      </c>
      <c r="J124" s="8">
        <v>12216.8</v>
      </c>
      <c r="K124" s="8">
        <v>1000</v>
      </c>
    </row>
    <row r="125" spans="1:11">
      <c r="A125" s="8" t="str">
        <f>"20131118"</f>
        <v>20131118</v>
      </c>
      <c r="B125" s="8" t="str">
        <f>"20131118"</f>
        <v>20131118</v>
      </c>
      <c r="C125" s="8" t="str">
        <f t="shared" si="56"/>
        <v>证券卖出</v>
      </c>
      <c r="D125" s="8" t="str">
        <f>"000606"</f>
        <v>000606</v>
      </c>
      <c r="E125" s="8" t="str">
        <f>"青海明胶"</f>
        <v>青海明胶</v>
      </c>
      <c r="F125" s="8">
        <v>7.71</v>
      </c>
      <c r="G125" s="8">
        <v>600</v>
      </c>
      <c r="H125" s="8">
        <v>4626</v>
      </c>
      <c r="I125" s="11">
        <v>4616.29</v>
      </c>
      <c r="J125" s="8">
        <v>16833.09</v>
      </c>
      <c r="K125" s="8">
        <v>2200</v>
      </c>
    </row>
    <row r="126" spans="1:11">
      <c r="A126" s="8" t="str">
        <f>"20131119"</f>
        <v>20131119</v>
      </c>
      <c r="B126" s="8" t="str">
        <f>"20131119"</f>
        <v>20131119</v>
      </c>
      <c r="C126" s="8" t="str">
        <f t="shared" ref="C126:C130" si="59">"证券买入"</f>
        <v>证券买入</v>
      </c>
      <c r="D126" s="8" t="str">
        <f t="shared" si="57"/>
        <v>601607</v>
      </c>
      <c r="E126" s="8" t="str">
        <f t="shared" si="58"/>
        <v>上海医药</v>
      </c>
      <c r="F126" s="8">
        <v>15.05</v>
      </c>
      <c r="G126" s="8">
        <v>500</v>
      </c>
      <c r="H126" s="8">
        <v>7525</v>
      </c>
      <c r="I126" s="11">
        <v>-7533.58</v>
      </c>
      <c r="J126" s="8">
        <v>9299.51</v>
      </c>
      <c r="K126" s="8">
        <v>1500</v>
      </c>
    </row>
    <row r="127" spans="1:11">
      <c r="A127" s="8" t="str">
        <f>"20131121"</f>
        <v>20131121</v>
      </c>
      <c r="B127" s="8" t="str">
        <f>"20131121"</f>
        <v>20131121</v>
      </c>
      <c r="C127" s="8" t="str">
        <f t="shared" si="56"/>
        <v>证券卖出</v>
      </c>
      <c r="D127" s="8" t="str">
        <f t="shared" si="57"/>
        <v>601607</v>
      </c>
      <c r="E127" s="8" t="str">
        <f t="shared" si="58"/>
        <v>上海医药</v>
      </c>
      <c r="F127" s="8">
        <v>15.28</v>
      </c>
      <c r="G127" s="8">
        <v>500</v>
      </c>
      <c r="H127" s="8">
        <v>7640</v>
      </c>
      <c r="I127" s="11">
        <v>7623.66</v>
      </c>
      <c r="J127" s="8">
        <v>16923.17</v>
      </c>
      <c r="K127" s="8">
        <v>1000</v>
      </c>
    </row>
    <row r="128" spans="1:11">
      <c r="A128" s="8" t="str">
        <f>"20131126"</f>
        <v>20131126</v>
      </c>
      <c r="B128" s="8" t="str">
        <f>"20131126"</f>
        <v>20131126</v>
      </c>
      <c r="C128" s="8" t="str">
        <f t="shared" si="59"/>
        <v>证券买入</v>
      </c>
      <c r="D128" s="8" t="str">
        <f t="shared" si="57"/>
        <v>601607</v>
      </c>
      <c r="E128" s="8" t="str">
        <f t="shared" si="58"/>
        <v>上海医药</v>
      </c>
      <c r="F128" s="8">
        <v>15.43</v>
      </c>
      <c r="G128" s="8">
        <v>500</v>
      </c>
      <c r="H128" s="8">
        <v>7715</v>
      </c>
      <c r="I128" s="11">
        <v>-7723.79</v>
      </c>
      <c r="J128" s="8">
        <v>9199.38</v>
      </c>
      <c r="K128" s="8">
        <v>1500</v>
      </c>
    </row>
    <row r="129" spans="1:11">
      <c r="A129" s="8" t="str">
        <f>"20131126"</f>
        <v>20131126</v>
      </c>
      <c r="B129" s="8" t="str">
        <f>"20131126"</f>
        <v>20131126</v>
      </c>
      <c r="C129" s="8" t="str">
        <f t="shared" ref="C129:C134" si="60">"证券卖出"</f>
        <v>证券卖出</v>
      </c>
      <c r="D129" s="8" t="str">
        <f t="shared" si="57"/>
        <v>601607</v>
      </c>
      <c r="E129" s="8" t="str">
        <f t="shared" si="58"/>
        <v>上海医药</v>
      </c>
      <c r="F129" s="8">
        <v>15.54</v>
      </c>
      <c r="G129" s="8">
        <v>500</v>
      </c>
      <c r="H129" s="8">
        <v>7770</v>
      </c>
      <c r="I129" s="11">
        <v>7753.38</v>
      </c>
      <c r="J129" s="8">
        <v>16952.76</v>
      </c>
      <c r="K129" s="8">
        <v>1000</v>
      </c>
    </row>
    <row r="130" spans="1:11">
      <c r="A130" s="8" t="str">
        <f>"20131127"</f>
        <v>20131127</v>
      </c>
      <c r="B130" s="8" t="str">
        <f>"20131127"</f>
        <v>20131127</v>
      </c>
      <c r="C130" s="8" t="str">
        <f t="shared" si="59"/>
        <v>证券买入</v>
      </c>
      <c r="D130" s="8" t="str">
        <f t="shared" si="57"/>
        <v>601607</v>
      </c>
      <c r="E130" s="8" t="str">
        <f t="shared" si="58"/>
        <v>上海医药</v>
      </c>
      <c r="F130" s="8">
        <v>15.67</v>
      </c>
      <c r="G130" s="8">
        <v>500</v>
      </c>
      <c r="H130" s="8">
        <v>7835</v>
      </c>
      <c r="I130" s="11">
        <v>-7843.92</v>
      </c>
      <c r="J130" s="8">
        <v>9108.84</v>
      </c>
      <c r="K130" s="8">
        <v>1500</v>
      </c>
    </row>
    <row r="131" spans="1:11">
      <c r="A131" s="8" t="str">
        <f>"20131127"</f>
        <v>20131127</v>
      </c>
      <c r="B131" s="8" t="str">
        <f>"20131127"</f>
        <v>20131127</v>
      </c>
      <c r="C131" s="8" t="str">
        <f t="shared" si="60"/>
        <v>证券卖出</v>
      </c>
      <c r="D131" s="8" t="str">
        <f t="shared" si="57"/>
        <v>601607</v>
      </c>
      <c r="E131" s="8" t="str">
        <f t="shared" si="58"/>
        <v>上海医药</v>
      </c>
      <c r="F131" s="8">
        <v>15.65</v>
      </c>
      <c r="G131" s="8">
        <v>500</v>
      </c>
      <c r="H131" s="8">
        <v>7825</v>
      </c>
      <c r="I131" s="11">
        <v>7808.26</v>
      </c>
      <c r="J131" s="8">
        <v>16917.1</v>
      </c>
      <c r="K131" s="8">
        <v>1000</v>
      </c>
    </row>
    <row r="132" spans="1:11">
      <c r="A132" s="8" t="str">
        <f>"20131128"</f>
        <v>20131128</v>
      </c>
      <c r="B132" s="8" t="str">
        <f>"20131128"</f>
        <v>20131128</v>
      </c>
      <c r="C132" s="8" t="str">
        <f t="shared" ref="C132:C137" si="61">"证券买入"</f>
        <v>证券买入</v>
      </c>
      <c r="D132" s="8" t="str">
        <f t="shared" ref="D132:D137" si="62">"000606"</f>
        <v>000606</v>
      </c>
      <c r="E132" s="8" t="str">
        <f t="shared" ref="E132:E137" si="63">"青海明胶"</f>
        <v>青海明胶</v>
      </c>
      <c r="F132" s="8">
        <v>7.59</v>
      </c>
      <c r="G132" s="8">
        <v>1000</v>
      </c>
      <c r="H132" s="8">
        <v>7590</v>
      </c>
      <c r="I132" s="11">
        <v>-7598.35</v>
      </c>
      <c r="J132" s="8">
        <v>9318.75</v>
      </c>
      <c r="K132" s="8">
        <v>3200</v>
      </c>
    </row>
    <row r="133" spans="1:11">
      <c r="A133" s="8" t="str">
        <f>"20131128"</f>
        <v>20131128</v>
      </c>
      <c r="B133" s="8" t="str">
        <f>"20131128"</f>
        <v>20131128</v>
      </c>
      <c r="C133" s="8" t="str">
        <f t="shared" si="60"/>
        <v>证券卖出</v>
      </c>
      <c r="D133" s="8" t="str">
        <f>"002500"</f>
        <v>002500</v>
      </c>
      <c r="E133" s="8" t="str">
        <f>"山西证券"</f>
        <v>山西证券</v>
      </c>
      <c r="F133" s="8">
        <v>6.76</v>
      </c>
      <c r="G133" s="8">
        <v>600</v>
      </c>
      <c r="H133" s="8">
        <v>4056</v>
      </c>
      <c r="I133" s="11">
        <v>4046.94</v>
      </c>
      <c r="J133" s="8">
        <v>13365.69</v>
      </c>
      <c r="K133" s="8">
        <v>0</v>
      </c>
    </row>
    <row r="134" spans="1:11">
      <c r="A134" s="8" t="str">
        <f>"20131129"</f>
        <v>20131129</v>
      </c>
      <c r="B134" s="8" t="str">
        <f>"20131129"</f>
        <v>20131129</v>
      </c>
      <c r="C134" s="8" t="str">
        <f t="shared" si="60"/>
        <v>证券卖出</v>
      </c>
      <c r="D134" s="8" t="str">
        <f t="shared" si="62"/>
        <v>000606</v>
      </c>
      <c r="E134" s="8" t="str">
        <f t="shared" si="63"/>
        <v>青海明胶</v>
      </c>
      <c r="F134" s="8">
        <v>7.53</v>
      </c>
      <c r="G134" s="8">
        <v>1000</v>
      </c>
      <c r="H134" s="8">
        <v>7530</v>
      </c>
      <c r="I134" s="11">
        <v>7514.19</v>
      </c>
      <c r="J134" s="8">
        <v>20879.88</v>
      </c>
      <c r="K134" s="8">
        <v>2200</v>
      </c>
    </row>
    <row r="135" spans="1:11">
      <c r="A135" s="8" t="str">
        <f t="shared" ref="A135:A137" si="64">"20131203"</f>
        <v>20131203</v>
      </c>
      <c r="B135" s="8" t="str">
        <f t="shared" ref="B135:B137" si="65">"20131203"</f>
        <v>20131203</v>
      </c>
      <c r="C135" s="8" t="str">
        <f t="shared" si="61"/>
        <v>证券买入</v>
      </c>
      <c r="D135" s="8" t="str">
        <f>"601607"</f>
        <v>601607</v>
      </c>
      <c r="E135" s="8" t="str">
        <f>"上海医药"</f>
        <v>上海医药</v>
      </c>
      <c r="F135" s="8">
        <v>14.9</v>
      </c>
      <c r="G135" s="8">
        <v>500</v>
      </c>
      <c r="H135" s="8">
        <v>7450</v>
      </c>
      <c r="I135" s="11">
        <v>-7458.5</v>
      </c>
      <c r="J135" s="8">
        <v>13421.38</v>
      </c>
      <c r="K135" s="8">
        <v>1500</v>
      </c>
    </row>
    <row r="136" spans="1:11">
      <c r="A136" s="8" t="str">
        <f t="shared" si="64"/>
        <v>20131203</v>
      </c>
      <c r="B136" s="8" t="str">
        <f t="shared" si="65"/>
        <v>20131203</v>
      </c>
      <c r="C136" s="8" t="str">
        <f t="shared" si="61"/>
        <v>证券买入</v>
      </c>
      <c r="D136" s="8" t="str">
        <f>"601607"</f>
        <v>601607</v>
      </c>
      <c r="E136" s="8" t="str">
        <f>"上海医药"</f>
        <v>上海医药</v>
      </c>
      <c r="F136" s="8">
        <v>15.03</v>
      </c>
      <c r="G136" s="8">
        <v>500</v>
      </c>
      <c r="H136" s="8">
        <v>7515</v>
      </c>
      <c r="I136" s="11">
        <v>-7523.57</v>
      </c>
      <c r="J136" s="8">
        <v>5897.81</v>
      </c>
      <c r="K136" s="8">
        <v>2000</v>
      </c>
    </row>
    <row r="137" spans="1:11">
      <c r="A137" s="8" t="str">
        <f t="shared" si="64"/>
        <v>20131203</v>
      </c>
      <c r="B137" s="8" t="str">
        <f t="shared" si="65"/>
        <v>20131203</v>
      </c>
      <c r="C137" s="8" t="str">
        <f t="shared" si="61"/>
        <v>证券买入</v>
      </c>
      <c r="D137" s="8" t="str">
        <f t="shared" si="62"/>
        <v>000606</v>
      </c>
      <c r="E137" s="8" t="str">
        <f t="shared" si="63"/>
        <v>青海明胶</v>
      </c>
      <c r="F137" s="8">
        <v>7.36</v>
      </c>
      <c r="G137" s="8">
        <v>800</v>
      </c>
      <c r="H137" s="8">
        <v>5888</v>
      </c>
      <c r="I137" s="11">
        <v>-5894.48</v>
      </c>
      <c r="J137" s="8">
        <v>3.33</v>
      </c>
      <c r="K137" s="8">
        <v>3000</v>
      </c>
    </row>
    <row r="138" spans="1:11">
      <c r="A138" s="8" t="str">
        <f>"20131220"</f>
        <v>20131220</v>
      </c>
      <c r="B138" s="8" t="str">
        <f>"20131220"</f>
        <v>20131220</v>
      </c>
      <c r="C138" s="8" t="str">
        <f>"利息归本"</f>
        <v>利息归本</v>
      </c>
      <c r="D138" s="8"/>
      <c r="E138" s="8"/>
      <c r="F138" s="8">
        <v>0</v>
      </c>
      <c r="G138" s="8">
        <v>0</v>
      </c>
      <c r="H138" s="8">
        <v>0</v>
      </c>
      <c r="I138" s="11">
        <v>6.23</v>
      </c>
      <c r="J138" s="8">
        <v>9.56</v>
      </c>
      <c r="K138" s="8">
        <v>0</v>
      </c>
    </row>
    <row r="139" spans="1:11">
      <c r="A139" s="8" t="str">
        <f>"20140129"</f>
        <v>20140129</v>
      </c>
      <c r="B139" s="8" t="str">
        <f>"20140129"</f>
        <v>20140129</v>
      </c>
      <c r="C139" s="8" t="str">
        <f>"银行转证券"</f>
        <v>银行转证券</v>
      </c>
      <c r="D139" s="8"/>
      <c r="E139" s="8"/>
      <c r="F139" s="8">
        <v>0</v>
      </c>
      <c r="G139" s="8">
        <v>0</v>
      </c>
      <c r="H139" s="8">
        <v>0</v>
      </c>
      <c r="I139" s="11">
        <v>5300</v>
      </c>
      <c r="J139" s="8">
        <v>5309.56</v>
      </c>
      <c r="K139" s="8">
        <v>0</v>
      </c>
    </row>
    <row r="140" spans="1:11">
      <c r="A140" s="8" t="str">
        <f>"20140129"</f>
        <v>20140129</v>
      </c>
      <c r="B140" s="8" t="str">
        <f>"20140129"</f>
        <v>20140129</v>
      </c>
      <c r="C140" s="8" t="str">
        <f>"证券买入"</f>
        <v>证券买入</v>
      </c>
      <c r="D140" s="8" t="str">
        <f>"601398"</f>
        <v>601398</v>
      </c>
      <c r="E140" s="8" t="str">
        <f>"工商银行"</f>
        <v>工商银行</v>
      </c>
      <c r="F140" s="8">
        <v>3.41</v>
      </c>
      <c r="G140" s="8">
        <v>1500</v>
      </c>
      <c r="H140" s="8">
        <v>5115</v>
      </c>
      <c r="I140" s="11">
        <v>-5121.53</v>
      </c>
      <c r="J140" s="8">
        <v>188.03</v>
      </c>
      <c r="K140" s="8">
        <v>1500</v>
      </c>
    </row>
    <row r="141" spans="1:11">
      <c r="A141" s="8" t="str">
        <f>"20140318"</f>
        <v>20140318</v>
      </c>
      <c r="B141" s="8" t="str">
        <f>"20140318"</f>
        <v>20140318</v>
      </c>
      <c r="C141" s="8" t="str">
        <f t="shared" ref="C141:C145" si="66">"证券卖出"</f>
        <v>证券卖出</v>
      </c>
      <c r="D141" s="8" t="str">
        <f t="shared" ref="D141:D145" si="67">"000606"</f>
        <v>000606</v>
      </c>
      <c r="E141" s="8" t="str">
        <f t="shared" ref="E141:E145" si="68">"青海明胶"</f>
        <v>青海明胶</v>
      </c>
      <c r="F141" s="8">
        <v>7.07</v>
      </c>
      <c r="G141" s="8">
        <v>500</v>
      </c>
      <c r="H141" s="8">
        <v>3535</v>
      </c>
      <c r="I141" s="11">
        <v>3526.46</v>
      </c>
      <c r="J141" s="8">
        <v>3714.49</v>
      </c>
      <c r="K141" s="8">
        <v>2500</v>
      </c>
    </row>
    <row r="142" spans="1:11">
      <c r="A142" s="8" t="str">
        <f>"20140318"</f>
        <v>20140318</v>
      </c>
      <c r="B142" s="8" t="str">
        <f>"20140318"</f>
        <v>20140318</v>
      </c>
      <c r="C142" s="8" t="str">
        <f t="shared" si="66"/>
        <v>证券卖出</v>
      </c>
      <c r="D142" s="8" t="str">
        <f t="shared" si="67"/>
        <v>000606</v>
      </c>
      <c r="E142" s="8" t="str">
        <f t="shared" si="68"/>
        <v>青海明胶</v>
      </c>
      <c r="F142" s="8">
        <v>7.05</v>
      </c>
      <c r="G142" s="8">
        <v>500</v>
      </c>
      <c r="H142" s="8">
        <v>3525</v>
      </c>
      <c r="I142" s="11">
        <v>3516.47</v>
      </c>
      <c r="J142" s="8">
        <v>7230.96</v>
      </c>
      <c r="K142" s="8">
        <v>2000</v>
      </c>
    </row>
    <row r="143" spans="1:11">
      <c r="A143" s="8" t="str">
        <f>"20140320"</f>
        <v>20140320</v>
      </c>
      <c r="B143" s="8" t="str">
        <f>"20140320"</f>
        <v>20140320</v>
      </c>
      <c r="C143" s="8" t="str">
        <f>"利息归本"</f>
        <v>利息归本</v>
      </c>
      <c r="D143" s="8"/>
      <c r="E143" s="8"/>
      <c r="F143" s="8">
        <v>0</v>
      </c>
      <c r="G143" s="8">
        <v>0</v>
      </c>
      <c r="H143" s="8">
        <v>0</v>
      </c>
      <c r="I143" s="11">
        <v>0.22</v>
      </c>
      <c r="J143" s="8">
        <v>7231.18</v>
      </c>
      <c r="K143" s="8">
        <v>0</v>
      </c>
    </row>
    <row r="144" spans="1:11">
      <c r="A144" s="8" t="str">
        <f>"20140321"</f>
        <v>20140321</v>
      </c>
      <c r="B144" s="8" t="str">
        <f>"20140321"</f>
        <v>20140321</v>
      </c>
      <c r="C144" s="8" t="str">
        <f>"证券买入"</f>
        <v>证券买入</v>
      </c>
      <c r="D144" s="8" t="str">
        <f t="shared" si="67"/>
        <v>000606</v>
      </c>
      <c r="E144" s="8" t="str">
        <f t="shared" si="68"/>
        <v>青海明胶</v>
      </c>
      <c r="F144" s="8">
        <v>6.26</v>
      </c>
      <c r="G144" s="8">
        <v>1100</v>
      </c>
      <c r="H144" s="8">
        <v>6886</v>
      </c>
      <c r="I144" s="11">
        <v>-6893.57</v>
      </c>
      <c r="J144" s="8">
        <v>337.61</v>
      </c>
      <c r="K144" s="8">
        <v>3100</v>
      </c>
    </row>
    <row r="145" spans="1:11">
      <c r="A145" s="8" t="str">
        <f>"20140521"</f>
        <v>20140521</v>
      </c>
      <c r="B145" s="8" t="str">
        <f>"20140521"</f>
        <v>20140521</v>
      </c>
      <c r="C145" s="8" t="str">
        <f t="shared" si="66"/>
        <v>证券卖出</v>
      </c>
      <c r="D145" s="8" t="str">
        <f t="shared" si="67"/>
        <v>000606</v>
      </c>
      <c r="E145" s="8" t="str">
        <f t="shared" si="68"/>
        <v>青海明胶</v>
      </c>
      <c r="F145" s="8">
        <v>5.34</v>
      </c>
      <c r="G145" s="8">
        <v>1100</v>
      </c>
      <c r="H145" s="8">
        <v>5874</v>
      </c>
      <c r="I145" s="11">
        <v>5861.67</v>
      </c>
      <c r="J145" s="8">
        <v>6199.28</v>
      </c>
      <c r="K145" s="8">
        <v>2000</v>
      </c>
    </row>
    <row r="146" spans="1:11">
      <c r="A146" s="8" t="str">
        <f>"20140521"</f>
        <v>20140521</v>
      </c>
      <c r="B146" s="8" t="str">
        <f>"20140521"</f>
        <v>20140521</v>
      </c>
      <c r="C146" s="8" t="str">
        <f>"证券买入"</f>
        <v>证券买入</v>
      </c>
      <c r="D146" s="8" t="str">
        <f>"601607"</f>
        <v>601607</v>
      </c>
      <c r="E146" s="8" t="str">
        <f>"上海医药"</f>
        <v>上海医药</v>
      </c>
      <c r="F146" s="8">
        <v>12.07</v>
      </c>
      <c r="G146" s="8">
        <v>500</v>
      </c>
      <c r="H146" s="8">
        <v>6035</v>
      </c>
      <c r="I146" s="11">
        <v>-6041.94</v>
      </c>
      <c r="J146" s="8">
        <v>157.34</v>
      </c>
      <c r="K146" s="8">
        <v>2500</v>
      </c>
    </row>
    <row r="147" spans="1:11">
      <c r="A147" s="8" t="str">
        <f t="shared" ref="A147:A152" si="69">"20140529"</f>
        <v>20140529</v>
      </c>
      <c r="B147" s="8" t="str">
        <f t="shared" ref="B147:B152" si="70">"20140529"</f>
        <v>20140529</v>
      </c>
      <c r="C147" s="8" t="str">
        <f t="shared" ref="C147:C149" si="71">"银行转证券"</f>
        <v>银行转证券</v>
      </c>
      <c r="D147" s="8"/>
      <c r="E147" s="8"/>
      <c r="F147" s="8">
        <v>0</v>
      </c>
      <c r="G147" s="8">
        <v>0</v>
      </c>
      <c r="H147" s="8">
        <v>0</v>
      </c>
      <c r="I147" s="11">
        <v>10000</v>
      </c>
      <c r="J147" s="8">
        <v>10157.34</v>
      </c>
      <c r="K147" s="8">
        <v>0</v>
      </c>
    </row>
    <row r="148" spans="1:11">
      <c r="A148" s="8" t="str">
        <f t="shared" si="69"/>
        <v>20140529</v>
      </c>
      <c r="B148" s="8" t="str">
        <f t="shared" si="70"/>
        <v>20140529</v>
      </c>
      <c r="C148" s="8" t="str">
        <f t="shared" si="71"/>
        <v>银行转证券</v>
      </c>
      <c r="D148" s="8"/>
      <c r="E148" s="8"/>
      <c r="F148" s="8">
        <v>0</v>
      </c>
      <c r="G148" s="8">
        <v>0</v>
      </c>
      <c r="H148" s="8">
        <v>0</v>
      </c>
      <c r="I148" s="11">
        <v>5000</v>
      </c>
      <c r="J148" s="8">
        <v>15157.34</v>
      </c>
      <c r="K148" s="8">
        <v>0</v>
      </c>
    </row>
    <row r="149" spans="1:11">
      <c r="A149" s="8" t="str">
        <f t="shared" si="69"/>
        <v>20140529</v>
      </c>
      <c r="B149" s="8" t="str">
        <f t="shared" si="70"/>
        <v>20140529</v>
      </c>
      <c r="C149" s="8" t="str">
        <f t="shared" si="71"/>
        <v>银行转证券</v>
      </c>
      <c r="D149" s="8"/>
      <c r="E149" s="8"/>
      <c r="F149" s="8">
        <v>0</v>
      </c>
      <c r="G149" s="8">
        <v>0</v>
      </c>
      <c r="H149" s="8">
        <v>0</v>
      </c>
      <c r="I149" s="11">
        <v>111.36</v>
      </c>
      <c r="J149" s="8">
        <v>15268.7</v>
      </c>
      <c r="K149" s="8">
        <v>0</v>
      </c>
    </row>
    <row r="150" spans="1:11">
      <c r="A150" s="8" t="str">
        <f t="shared" si="69"/>
        <v>20140529</v>
      </c>
      <c r="B150" s="8" t="str">
        <f t="shared" si="70"/>
        <v>20140529</v>
      </c>
      <c r="C150" s="8" t="str">
        <f>"红利入账"</f>
        <v>红利入账</v>
      </c>
      <c r="D150" s="8" t="str">
        <f>"601607"</f>
        <v>601607</v>
      </c>
      <c r="E150" s="8" t="str">
        <f>"上海医药"</f>
        <v>上海医药</v>
      </c>
      <c r="F150" s="8">
        <v>0</v>
      </c>
      <c r="G150" s="8">
        <v>2500</v>
      </c>
      <c r="H150" s="8">
        <v>617.5</v>
      </c>
      <c r="I150" s="11">
        <v>617.5</v>
      </c>
      <c r="J150" s="8">
        <v>15886.2</v>
      </c>
      <c r="K150" s="8">
        <v>0</v>
      </c>
    </row>
    <row r="151" spans="1:11">
      <c r="A151" s="8" t="str">
        <f t="shared" si="69"/>
        <v>20140529</v>
      </c>
      <c r="B151" s="8" t="str">
        <f t="shared" si="70"/>
        <v>20140529</v>
      </c>
      <c r="C151" s="8" t="str">
        <f t="shared" ref="C151:C155" si="72">"证券买入"</f>
        <v>证券买入</v>
      </c>
      <c r="D151" s="8" t="str">
        <f>"122535"</f>
        <v>122535</v>
      </c>
      <c r="E151" s="8" t="str">
        <f>"12苏飞达"</f>
        <v>12苏飞达</v>
      </c>
      <c r="F151" s="8">
        <v>101.074</v>
      </c>
      <c r="G151" s="8">
        <v>100</v>
      </c>
      <c r="H151" s="8">
        <v>10107.44</v>
      </c>
      <c r="I151" s="11">
        <v>-10109.46</v>
      </c>
      <c r="J151" s="8">
        <v>5776.74</v>
      </c>
      <c r="K151" s="8">
        <v>100</v>
      </c>
    </row>
    <row r="152" spans="1:11">
      <c r="A152" s="8" t="str">
        <f t="shared" si="69"/>
        <v>20140529</v>
      </c>
      <c r="B152" s="8" t="str">
        <f t="shared" si="70"/>
        <v>20140529</v>
      </c>
      <c r="C152" s="8" t="str">
        <f t="shared" si="72"/>
        <v>证券买入</v>
      </c>
      <c r="D152" s="8" t="str">
        <f>"600583"</f>
        <v>600583</v>
      </c>
      <c r="E152" s="8" t="str">
        <f>"海油工程"</f>
        <v>海油工程</v>
      </c>
      <c r="F152" s="8">
        <v>7.34</v>
      </c>
      <c r="G152" s="8">
        <v>700</v>
      </c>
      <c r="H152" s="8">
        <v>5138</v>
      </c>
      <c r="I152" s="11">
        <v>-5144.07</v>
      </c>
      <c r="J152" s="8">
        <v>632.67</v>
      </c>
      <c r="K152" s="8">
        <v>700</v>
      </c>
    </row>
    <row r="153" spans="1:11">
      <c r="A153" s="8" t="str">
        <f>"20140616"</f>
        <v>20140616</v>
      </c>
      <c r="B153" s="8" t="str">
        <f>"20140616"</f>
        <v>20140616</v>
      </c>
      <c r="C153" s="8" t="str">
        <f t="shared" ref="C153:C157" si="73">"红利入账"</f>
        <v>红利入账</v>
      </c>
      <c r="D153" s="8" t="str">
        <f>"600583"</f>
        <v>600583</v>
      </c>
      <c r="E153" s="8" t="str">
        <f>"海油工程"</f>
        <v>海油工程</v>
      </c>
      <c r="F153" s="8">
        <v>0</v>
      </c>
      <c r="G153" s="8">
        <v>700</v>
      </c>
      <c r="H153" s="8">
        <v>66.5</v>
      </c>
      <c r="I153" s="11">
        <v>66.5</v>
      </c>
      <c r="J153" s="8">
        <v>699.17</v>
      </c>
      <c r="K153" s="8">
        <v>0</v>
      </c>
    </row>
    <row r="154" spans="1:11">
      <c r="A154" s="8" t="str">
        <f>"20140617"</f>
        <v>20140617</v>
      </c>
      <c r="B154" s="8" t="str">
        <f>"20140617"</f>
        <v>20140617</v>
      </c>
      <c r="C154" s="8" t="str">
        <f>"银行转证券"</f>
        <v>银行转证券</v>
      </c>
      <c r="D154" s="8"/>
      <c r="E154" s="8"/>
      <c r="F154" s="8">
        <v>0</v>
      </c>
      <c r="G154" s="8">
        <v>0</v>
      </c>
      <c r="H154" s="8">
        <v>0</v>
      </c>
      <c r="I154" s="11">
        <v>7400</v>
      </c>
      <c r="J154" s="8">
        <v>8099.17</v>
      </c>
      <c r="K154" s="8">
        <v>0</v>
      </c>
    </row>
    <row r="155" spans="1:11">
      <c r="A155" s="8" t="str">
        <f>"20140617"</f>
        <v>20140617</v>
      </c>
      <c r="B155" s="8" t="str">
        <f>"20140617"</f>
        <v>20140617</v>
      </c>
      <c r="C155" s="8" t="str">
        <f t="shared" si="72"/>
        <v>证券买入</v>
      </c>
      <c r="D155" s="8" t="str">
        <f>"122535"</f>
        <v>122535</v>
      </c>
      <c r="E155" s="8" t="str">
        <f>"12苏飞达"</f>
        <v>12苏飞达</v>
      </c>
      <c r="F155" s="8">
        <v>101.06</v>
      </c>
      <c r="G155" s="8">
        <v>80</v>
      </c>
      <c r="H155" s="8">
        <v>8084.8</v>
      </c>
      <c r="I155" s="11">
        <v>-8086.42</v>
      </c>
      <c r="J155" s="8">
        <v>12.75</v>
      </c>
      <c r="K155" s="8">
        <v>180</v>
      </c>
    </row>
    <row r="156" spans="1:11">
      <c r="A156" s="8" t="str">
        <f>"20140619"</f>
        <v>20140619</v>
      </c>
      <c r="B156" s="8" t="str">
        <f>"20140619"</f>
        <v>20140619</v>
      </c>
      <c r="C156" s="8" t="str">
        <f t="shared" si="73"/>
        <v>红利入账</v>
      </c>
      <c r="D156" s="8" t="str">
        <f>"000606"</f>
        <v>000606</v>
      </c>
      <c r="E156" s="8" t="str">
        <f>"青海明胶"</f>
        <v>青海明胶</v>
      </c>
      <c r="F156" s="8">
        <v>0</v>
      </c>
      <c r="G156" s="8">
        <v>0</v>
      </c>
      <c r="H156" s="8">
        <v>38</v>
      </c>
      <c r="I156" s="11">
        <v>38</v>
      </c>
      <c r="J156" s="8">
        <v>50.75</v>
      </c>
      <c r="K156" s="8">
        <v>0</v>
      </c>
    </row>
    <row r="157" spans="1:11">
      <c r="A157" s="8" t="str">
        <f>"20140619"</f>
        <v>20140619</v>
      </c>
      <c r="B157" s="8" t="str">
        <f>"20140619"</f>
        <v>20140619</v>
      </c>
      <c r="C157" s="8" t="str">
        <f t="shared" si="73"/>
        <v>红利入账</v>
      </c>
      <c r="D157" s="8" t="str">
        <f>"601398"</f>
        <v>601398</v>
      </c>
      <c r="E157" s="8" t="str">
        <f>"工商银行"</f>
        <v>工商银行</v>
      </c>
      <c r="F157" s="8">
        <v>0</v>
      </c>
      <c r="G157" s="8">
        <v>1500</v>
      </c>
      <c r="H157" s="8">
        <v>372.93</v>
      </c>
      <c r="I157" s="11">
        <v>372.93</v>
      </c>
      <c r="J157" s="8">
        <v>423.68</v>
      </c>
      <c r="K157" s="8">
        <v>0</v>
      </c>
    </row>
    <row r="158" spans="1:11">
      <c r="A158" s="8" t="str">
        <f>"20140620"</f>
        <v>20140620</v>
      </c>
      <c r="B158" s="8" t="str">
        <f>"20140620"</f>
        <v>20140620</v>
      </c>
      <c r="C158" s="8" t="str">
        <f>"利息归本"</f>
        <v>利息归本</v>
      </c>
      <c r="D158" s="8"/>
      <c r="E158" s="8"/>
      <c r="F158" s="8">
        <v>0</v>
      </c>
      <c r="G158" s="8">
        <v>0</v>
      </c>
      <c r="H158" s="8">
        <v>0</v>
      </c>
      <c r="I158" s="11">
        <v>0.81</v>
      </c>
      <c r="J158" s="8">
        <v>424.49</v>
      </c>
      <c r="K158" s="8">
        <v>0</v>
      </c>
    </row>
    <row r="159" spans="1:11">
      <c r="A159" s="8" t="str">
        <f>"20140627"</f>
        <v>20140627</v>
      </c>
      <c r="B159" s="8" t="str">
        <f>"20140627"</f>
        <v>20140627</v>
      </c>
      <c r="C159" s="8" t="str">
        <f>"证券转银行"</f>
        <v>证券转银行</v>
      </c>
      <c r="D159" s="8"/>
      <c r="E159" s="8"/>
      <c r="F159" s="8">
        <v>0</v>
      </c>
      <c r="G159" s="8">
        <v>0</v>
      </c>
      <c r="H159" s="8">
        <v>0</v>
      </c>
      <c r="I159" s="11">
        <v>-300</v>
      </c>
      <c r="J159" s="8">
        <v>124.49</v>
      </c>
      <c r="K159" s="8">
        <v>0</v>
      </c>
    </row>
    <row r="160" spans="1:11">
      <c r="A160" s="8" t="str">
        <f>"20140714"</f>
        <v>20140714</v>
      </c>
      <c r="B160" s="8" t="str">
        <f>"20140714"</f>
        <v>20140714</v>
      </c>
      <c r="C160" s="8" t="str">
        <f t="shared" ref="C160:C167" si="74">"证券卖出"</f>
        <v>证券卖出</v>
      </c>
      <c r="D160" s="8" t="str">
        <f>"122535"</f>
        <v>122535</v>
      </c>
      <c r="E160" s="8" t="str">
        <f>"12苏飞达"</f>
        <v>12苏飞达</v>
      </c>
      <c r="F160" s="8">
        <v>102.442</v>
      </c>
      <c r="G160" s="8">
        <v>80</v>
      </c>
      <c r="H160" s="8">
        <v>8195.37</v>
      </c>
      <c r="I160" s="11">
        <v>8193.73</v>
      </c>
      <c r="J160" s="8">
        <v>8318.22</v>
      </c>
      <c r="K160" s="8">
        <v>100</v>
      </c>
    </row>
    <row r="161" spans="1:11">
      <c r="A161" s="8" t="str">
        <f>"20140714"</f>
        <v>20140714</v>
      </c>
      <c r="B161" s="8" t="str">
        <f>"20140714"</f>
        <v>20140714</v>
      </c>
      <c r="C161" s="8" t="str">
        <f>"证券买入"</f>
        <v>证券买入</v>
      </c>
      <c r="D161" s="8" t="str">
        <f>"601607"</f>
        <v>601607</v>
      </c>
      <c r="E161" s="8" t="str">
        <f>"上海医药"</f>
        <v>上海医药</v>
      </c>
      <c r="F161" s="8">
        <v>12.29</v>
      </c>
      <c r="G161" s="8">
        <v>500</v>
      </c>
      <c r="H161" s="8">
        <v>6145</v>
      </c>
      <c r="I161" s="11">
        <v>-6152.06</v>
      </c>
      <c r="J161" s="8">
        <v>2166.16</v>
      </c>
      <c r="K161" s="8">
        <v>3000</v>
      </c>
    </row>
    <row r="162" spans="1:11">
      <c r="A162" s="8" t="str">
        <f>"20140718"</f>
        <v>20140718</v>
      </c>
      <c r="B162" s="8" t="str">
        <f>"20140718"</f>
        <v>20140718</v>
      </c>
      <c r="C162" s="8" t="str">
        <f>"证券买入"</f>
        <v>证券买入</v>
      </c>
      <c r="D162" s="8" t="str">
        <f>"122535"</f>
        <v>122535</v>
      </c>
      <c r="E162" s="8" t="str">
        <f>"12苏飞达"</f>
        <v>12苏飞达</v>
      </c>
      <c r="F162" s="8">
        <v>102.026</v>
      </c>
      <c r="G162" s="8">
        <v>20</v>
      </c>
      <c r="H162" s="8">
        <v>2040.51</v>
      </c>
      <c r="I162" s="11">
        <v>-2041.51</v>
      </c>
      <c r="J162" s="8">
        <v>124.65</v>
      </c>
      <c r="K162" s="8">
        <v>120</v>
      </c>
    </row>
    <row r="163" spans="1:11">
      <c r="A163" s="8" t="str">
        <f t="shared" ref="A163:A173" si="75">"20140722"</f>
        <v>20140722</v>
      </c>
      <c r="B163" s="8" t="str">
        <f t="shared" ref="B163:B173" si="76">"20140722"</f>
        <v>20140722</v>
      </c>
      <c r="C163" s="8" t="str">
        <f t="shared" si="74"/>
        <v>证券卖出</v>
      </c>
      <c r="D163" s="8" t="str">
        <f>"600583"</f>
        <v>600583</v>
      </c>
      <c r="E163" s="8" t="str">
        <f>"海油工程"</f>
        <v>海油工程</v>
      </c>
      <c r="F163" s="8">
        <v>7.19</v>
      </c>
      <c r="G163" s="8">
        <v>700</v>
      </c>
      <c r="H163" s="8">
        <v>5033</v>
      </c>
      <c r="I163" s="11">
        <v>5022.01</v>
      </c>
      <c r="J163" s="8">
        <v>5146.66</v>
      </c>
      <c r="K163" s="8">
        <v>0</v>
      </c>
    </row>
    <row r="164" spans="1:11">
      <c r="A164" s="8" t="str">
        <f t="shared" si="75"/>
        <v>20140722</v>
      </c>
      <c r="B164" s="8" t="str">
        <f t="shared" si="76"/>
        <v>20140722</v>
      </c>
      <c r="C164" s="8" t="str">
        <f t="shared" si="74"/>
        <v>证券卖出</v>
      </c>
      <c r="D164" s="8" t="str">
        <f>"601607"</f>
        <v>601607</v>
      </c>
      <c r="E164" s="8" t="str">
        <f>"上海医药"</f>
        <v>上海医药</v>
      </c>
      <c r="F164" s="8">
        <v>12.38</v>
      </c>
      <c r="G164" s="8">
        <v>1000</v>
      </c>
      <c r="H164" s="8">
        <v>12380</v>
      </c>
      <c r="I164" s="11">
        <v>12353.4</v>
      </c>
      <c r="J164" s="8">
        <v>17500.06</v>
      </c>
      <c r="K164" s="8">
        <v>2000</v>
      </c>
    </row>
    <row r="165" spans="1:11">
      <c r="A165" s="8" t="str">
        <f t="shared" si="75"/>
        <v>20140722</v>
      </c>
      <c r="B165" s="8" t="str">
        <f t="shared" si="76"/>
        <v>20140722</v>
      </c>
      <c r="C165" s="8" t="str">
        <f t="shared" si="74"/>
        <v>证券卖出</v>
      </c>
      <c r="D165" s="8" t="str">
        <f>"000606"</f>
        <v>000606</v>
      </c>
      <c r="E165" s="8" t="str">
        <f>"青海明胶"</f>
        <v>青海明胶</v>
      </c>
      <c r="F165" s="8">
        <v>6.07</v>
      </c>
      <c r="G165" s="8">
        <v>1000</v>
      </c>
      <c r="H165" s="8">
        <v>6070</v>
      </c>
      <c r="I165" s="11">
        <v>6057.25</v>
      </c>
      <c r="J165" s="8">
        <v>23557.31</v>
      </c>
      <c r="K165" s="8">
        <v>1000</v>
      </c>
    </row>
    <row r="166" spans="1:11">
      <c r="A166" s="8" t="str">
        <f t="shared" si="75"/>
        <v>20140722</v>
      </c>
      <c r="B166" s="8" t="str">
        <f t="shared" si="76"/>
        <v>20140722</v>
      </c>
      <c r="C166" s="8" t="str">
        <f t="shared" si="74"/>
        <v>证券卖出</v>
      </c>
      <c r="D166" s="8" t="str">
        <f>"601398"</f>
        <v>601398</v>
      </c>
      <c r="E166" s="8" t="str">
        <f>"工商银行"</f>
        <v>工商银行</v>
      </c>
      <c r="F166" s="8">
        <v>3.44</v>
      </c>
      <c r="G166" s="8">
        <v>1500</v>
      </c>
      <c r="H166" s="8">
        <v>5160</v>
      </c>
      <c r="I166" s="11">
        <v>5148.26</v>
      </c>
      <c r="J166" s="8">
        <v>28705.57</v>
      </c>
      <c r="K166" s="8">
        <v>0</v>
      </c>
    </row>
    <row r="167" spans="1:11">
      <c r="A167" s="8" t="str">
        <f t="shared" si="75"/>
        <v>20140722</v>
      </c>
      <c r="B167" s="8" t="str">
        <f t="shared" si="76"/>
        <v>20140722</v>
      </c>
      <c r="C167" s="8" t="str">
        <f t="shared" si="74"/>
        <v>证券卖出</v>
      </c>
      <c r="D167" s="8" t="str">
        <f>"122535"</f>
        <v>122535</v>
      </c>
      <c r="E167" s="8" t="str">
        <f>"12苏飞达"</f>
        <v>12苏飞达</v>
      </c>
      <c r="F167" s="8">
        <v>101.529</v>
      </c>
      <c r="G167" s="8">
        <v>120</v>
      </c>
      <c r="H167" s="8">
        <v>12183.45</v>
      </c>
      <c r="I167" s="11">
        <v>12181.01</v>
      </c>
      <c r="J167" s="8">
        <v>40886.58</v>
      </c>
      <c r="K167" s="8">
        <v>0</v>
      </c>
    </row>
    <row r="168" spans="1:11">
      <c r="A168" s="8" t="str">
        <f t="shared" si="75"/>
        <v>20140722</v>
      </c>
      <c r="B168" s="8" t="str">
        <f t="shared" si="76"/>
        <v>20140722</v>
      </c>
      <c r="C168" s="8" t="str">
        <f t="shared" ref="C168:C173" si="77">"证券买入"</f>
        <v>证券买入</v>
      </c>
      <c r="D168" s="8" t="str">
        <f t="shared" ref="D168:D172" si="78">"600066"</f>
        <v>600066</v>
      </c>
      <c r="E168" s="8" t="str">
        <f t="shared" ref="E168:E172" si="79">"宇通客车"</f>
        <v>宇通客车</v>
      </c>
      <c r="F168" s="8">
        <v>17.99</v>
      </c>
      <c r="G168" s="8">
        <v>1900</v>
      </c>
      <c r="H168" s="8">
        <v>34181</v>
      </c>
      <c r="I168" s="11">
        <v>-34219.74</v>
      </c>
      <c r="J168" s="8">
        <v>6666.84</v>
      </c>
      <c r="K168" s="8">
        <v>1900</v>
      </c>
    </row>
    <row r="169" spans="1:11">
      <c r="A169" s="8" t="str">
        <f t="shared" si="75"/>
        <v>20140722</v>
      </c>
      <c r="B169" s="8" t="str">
        <f t="shared" si="76"/>
        <v>20140722</v>
      </c>
      <c r="C169" s="8" t="str">
        <f t="shared" si="77"/>
        <v>证券买入</v>
      </c>
      <c r="D169" s="8" t="str">
        <f t="shared" si="78"/>
        <v>600066</v>
      </c>
      <c r="E169" s="8" t="str">
        <f t="shared" si="79"/>
        <v>宇通客车</v>
      </c>
      <c r="F169" s="8">
        <v>17.97</v>
      </c>
      <c r="G169" s="8">
        <v>300</v>
      </c>
      <c r="H169" s="8">
        <v>5391</v>
      </c>
      <c r="I169" s="11">
        <v>-5397.11</v>
      </c>
      <c r="J169" s="8">
        <v>1269.73</v>
      </c>
      <c r="K169" s="8">
        <v>2200</v>
      </c>
    </row>
    <row r="170" spans="1:11">
      <c r="A170" s="8" t="str">
        <f t="shared" si="75"/>
        <v>20140722</v>
      </c>
      <c r="B170" s="8" t="str">
        <f t="shared" si="76"/>
        <v>20140722</v>
      </c>
      <c r="C170" s="8" t="str">
        <f>"证券卖出"</f>
        <v>证券卖出</v>
      </c>
      <c r="D170" s="8" t="str">
        <f>"000606"</f>
        <v>000606</v>
      </c>
      <c r="E170" s="8" t="str">
        <f>"青海明胶"</f>
        <v>青海明胶</v>
      </c>
      <c r="F170" s="8">
        <v>6.07</v>
      </c>
      <c r="G170" s="8">
        <v>900</v>
      </c>
      <c r="H170" s="8">
        <v>5463</v>
      </c>
      <c r="I170" s="11">
        <v>5451.53</v>
      </c>
      <c r="J170" s="8">
        <v>6721.26</v>
      </c>
      <c r="K170" s="8">
        <v>100</v>
      </c>
    </row>
    <row r="171" spans="1:11">
      <c r="A171" s="8" t="str">
        <f t="shared" si="75"/>
        <v>20140722</v>
      </c>
      <c r="B171" s="8" t="str">
        <f t="shared" si="76"/>
        <v>20140722</v>
      </c>
      <c r="C171" s="8" t="str">
        <f>"证券卖出"</f>
        <v>证券卖出</v>
      </c>
      <c r="D171" s="8" t="str">
        <f>"601607"</f>
        <v>601607</v>
      </c>
      <c r="E171" s="8" t="str">
        <f>"上海医药"</f>
        <v>上海医药</v>
      </c>
      <c r="F171" s="8">
        <v>12.39</v>
      </c>
      <c r="G171" s="8">
        <v>1900</v>
      </c>
      <c r="H171" s="8">
        <v>23541</v>
      </c>
      <c r="I171" s="11">
        <v>23490.42</v>
      </c>
      <c r="J171" s="8">
        <v>30211.68</v>
      </c>
      <c r="K171" s="8">
        <v>100</v>
      </c>
    </row>
    <row r="172" spans="1:11">
      <c r="A172" s="8" t="str">
        <f t="shared" si="75"/>
        <v>20140722</v>
      </c>
      <c r="B172" s="8" t="str">
        <f t="shared" si="76"/>
        <v>20140722</v>
      </c>
      <c r="C172" s="8" t="str">
        <f t="shared" si="77"/>
        <v>证券买入</v>
      </c>
      <c r="D172" s="8" t="str">
        <f t="shared" si="78"/>
        <v>600066</v>
      </c>
      <c r="E172" s="8" t="str">
        <f t="shared" si="79"/>
        <v>宇通客车</v>
      </c>
      <c r="F172" s="8">
        <v>17.89</v>
      </c>
      <c r="G172" s="8">
        <v>1600</v>
      </c>
      <c r="H172" s="8">
        <v>28624</v>
      </c>
      <c r="I172" s="11">
        <v>-28656.45</v>
      </c>
      <c r="J172" s="8">
        <v>1555.23</v>
      </c>
      <c r="K172" s="8">
        <v>3800</v>
      </c>
    </row>
    <row r="173" spans="1:11">
      <c r="A173" s="8" t="str">
        <f t="shared" si="75"/>
        <v>20140722</v>
      </c>
      <c r="B173" s="8" t="str">
        <f t="shared" si="76"/>
        <v>20140722</v>
      </c>
      <c r="C173" s="8" t="str">
        <f t="shared" si="77"/>
        <v>证券买入</v>
      </c>
      <c r="D173" s="8" t="str">
        <f t="shared" ref="D173:D181" si="80">"601607"</f>
        <v>601607</v>
      </c>
      <c r="E173" s="8" t="str">
        <f t="shared" ref="E173:E181" si="81">"上海医药"</f>
        <v>上海医药</v>
      </c>
      <c r="F173" s="8">
        <v>12.39</v>
      </c>
      <c r="G173" s="8">
        <v>100</v>
      </c>
      <c r="H173" s="8">
        <v>1239</v>
      </c>
      <c r="I173" s="11">
        <v>-1244.06</v>
      </c>
      <c r="J173" s="8">
        <v>311.17</v>
      </c>
      <c r="K173" s="8">
        <v>200</v>
      </c>
    </row>
    <row r="174" spans="1:11">
      <c r="A174" s="8" t="str">
        <f t="shared" ref="A174:A181" si="82">"20140723"</f>
        <v>20140723</v>
      </c>
      <c r="B174" s="8" t="str">
        <f t="shared" ref="B174:B181" si="83">"0"</f>
        <v>0</v>
      </c>
      <c r="C174" s="8" t="str">
        <f t="shared" ref="C174:C181" si="84">"股息红利差异扣税"</f>
        <v>股息红利差异扣税</v>
      </c>
      <c r="D174" s="8" t="str">
        <f>"000606"</f>
        <v>000606</v>
      </c>
      <c r="E174" s="8" t="str">
        <f>"青海明胶"</f>
        <v>青海明胶</v>
      </c>
      <c r="F174" s="8">
        <v>0</v>
      </c>
      <c r="G174" s="8">
        <v>0</v>
      </c>
      <c r="H174" s="8">
        <v>0</v>
      </c>
      <c r="I174" s="11">
        <v>-1.9</v>
      </c>
      <c r="J174" s="8">
        <v>309.27</v>
      </c>
      <c r="K174" s="8">
        <v>0</v>
      </c>
    </row>
    <row r="175" spans="1:11">
      <c r="A175" s="8" t="str">
        <f t="shared" si="82"/>
        <v>20140723</v>
      </c>
      <c r="B175" s="8" t="str">
        <f t="shared" si="83"/>
        <v>0</v>
      </c>
      <c r="C175" s="8" t="str">
        <f t="shared" si="84"/>
        <v>股息红利差异扣税</v>
      </c>
      <c r="D175" s="8" t="str">
        <f>"600583"</f>
        <v>600583</v>
      </c>
      <c r="E175" s="8" t="str">
        <f>"海油工程"</f>
        <v>海油工程</v>
      </c>
      <c r="F175" s="8">
        <v>0</v>
      </c>
      <c r="G175" s="8">
        <v>0</v>
      </c>
      <c r="H175" s="8">
        <v>0</v>
      </c>
      <c r="I175" s="11">
        <v>-3.5</v>
      </c>
      <c r="J175" s="8">
        <v>305.77</v>
      </c>
      <c r="K175" s="8">
        <v>0</v>
      </c>
    </row>
    <row r="176" spans="1:11">
      <c r="A176" s="8" t="str">
        <f t="shared" si="82"/>
        <v>20140723</v>
      </c>
      <c r="B176" s="8" t="str">
        <f t="shared" si="83"/>
        <v>0</v>
      </c>
      <c r="C176" s="8" t="str">
        <f t="shared" si="84"/>
        <v>股息红利差异扣税</v>
      </c>
      <c r="D176" s="8" t="str">
        <f>"601398"</f>
        <v>601398</v>
      </c>
      <c r="E176" s="8" t="str">
        <f>"工商银行"</f>
        <v>工商银行</v>
      </c>
      <c r="F176" s="8">
        <v>0</v>
      </c>
      <c r="G176" s="8">
        <v>0</v>
      </c>
      <c r="H176" s="8">
        <v>0</v>
      </c>
      <c r="I176" s="11">
        <v>-19.63</v>
      </c>
      <c r="J176" s="8">
        <v>286.14</v>
      </c>
      <c r="K176" s="8">
        <v>0</v>
      </c>
    </row>
    <row r="177" spans="1:11">
      <c r="A177" s="8" t="str">
        <f t="shared" si="82"/>
        <v>20140723</v>
      </c>
      <c r="B177" s="8" t="str">
        <f t="shared" si="83"/>
        <v>0</v>
      </c>
      <c r="C177" s="8" t="str">
        <f t="shared" si="84"/>
        <v>股息红利差异扣税</v>
      </c>
      <c r="D177" s="8" t="str">
        <f t="shared" si="80"/>
        <v>601607</v>
      </c>
      <c r="E177" s="8" t="str">
        <f t="shared" si="81"/>
        <v>上海医药</v>
      </c>
      <c r="F177" s="8">
        <v>0</v>
      </c>
      <c r="G177" s="8">
        <v>0</v>
      </c>
      <c r="H177" s="8">
        <v>0</v>
      </c>
      <c r="I177" s="11">
        <v>-2.6</v>
      </c>
      <c r="J177" s="8">
        <v>283.54</v>
      </c>
      <c r="K177" s="8">
        <v>0</v>
      </c>
    </row>
    <row r="178" spans="1:11">
      <c r="A178" s="8" t="str">
        <f t="shared" si="82"/>
        <v>20140723</v>
      </c>
      <c r="B178" s="8" t="str">
        <f t="shared" si="83"/>
        <v>0</v>
      </c>
      <c r="C178" s="8" t="str">
        <f t="shared" si="84"/>
        <v>股息红利差异扣税</v>
      </c>
      <c r="D178" s="8" t="str">
        <f t="shared" si="80"/>
        <v>601607</v>
      </c>
      <c r="E178" s="8" t="str">
        <f t="shared" si="81"/>
        <v>上海医药</v>
      </c>
      <c r="F178" s="8">
        <v>0</v>
      </c>
      <c r="G178" s="8">
        <v>0</v>
      </c>
      <c r="H178" s="8">
        <v>0</v>
      </c>
      <c r="I178" s="11">
        <v>-3.9</v>
      </c>
      <c r="J178" s="8">
        <v>279.64</v>
      </c>
      <c r="K178" s="8">
        <v>0</v>
      </c>
    </row>
    <row r="179" spans="1:11">
      <c r="A179" s="8" t="str">
        <f t="shared" si="82"/>
        <v>20140723</v>
      </c>
      <c r="B179" s="8" t="str">
        <f t="shared" si="83"/>
        <v>0</v>
      </c>
      <c r="C179" s="8" t="str">
        <f t="shared" si="84"/>
        <v>股息红利差异扣税</v>
      </c>
      <c r="D179" s="8" t="str">
        <f t="shared" si="80"/>
        <v>601607</v>
      </c>
      <c r="E179" s="8" t="str">
        <f t="shared" si="81"/>
        <v>上海医药</v>
      </c>
      <c r="F179" s="8">
        <v>0</v>
      </c>
      <c r="G179" s="8">
        <v>0</v>
      </c>
      <c r="H179" s="8">
        <v>0</v>
      </c>
      <c r="I179" s="11">
        <v>-6.5</v>
      </c>
      <c r="J179" s="8">
        <v>273.14</v>
      </c>
      <c r="K179" s="8">
        <v>0</v>
      </c>
    </row>
    <row r="180" spans="1:11">
      <c r="A180" s="8" t="str">
        <f t="shared" si="82"/>
        <v>20140723</v>
      </c>
      <c r="B180" s="8" t="str">
        <f t="shared" si="83"/>
        <v>0</v>
      </c>
      <c r="C180" s="8" t="str">
        <f t="shared" si="84"/>
        <v>股息红利差异扣税</v>
      </c>
      <c r="D180" s="8" t="str">
        <f t="shared" si="80"/>
        <v>601607</v>
      </c>
      <c r="E180" s="8" t="str">
        <f t="shared" si="81"/>
        <v>上海医药</v>
      </c>
      <c r="F180" s="8">
        <v>0</v>
      </c>
      <c r="G180" s="8">
        <v>0</v>
      </c>
      <c r="H180" s="8">
        <v>0</v>
      </c>
      <c r="I180" s="11">
        <v>-13</v>
      </c>
      <c r="J180" s="8">
        <v>260.14</v>
      </c>
      <c r="K180" s="8">
        <v>0</v>
      </c>
    </row>
    <row r="181" spans="1:11">
      <c r="A181" s="8" t="str">
        <f t="shared" si="82"/>
        <v>20140723</v>
      </c>
      <c r="B181" s="8" t="str">
        <f t="shared" si="83"/>
        <v>0</v>
      </c>
      <c r="C181" s="8" t="str">
        <f t="shared" si="84"/>
        <v>股息红利差异扣税</v>
      </c>
      <c r="D181" s="8" t="str">
        <f t="shared" si="80"/>
        <v>601607</v>
      </c>
      <c r="E181" s="8" t="str">
        <f t="shared" si="81"/>
        <v>上海医药</v>
      </c>
      <c r="F181" s="8">
        <v>0</v>
      </c>
      <c r="G181" s="8">
        <v>0</v>
      </c>
      <c r="H181" s="8">
        <v>0</v>
      </c>
      <c r="I181" s="11">
        <v>-6.5</v>
      </c>
      <c r="J181" s="8">
        <v>253.64</v>
      </c>
      <c r="K181" s="8">
        <v>0</v>
      </c>
    </row>
    <row r="182" spans="1:11">
      <c r="A182" s="8" t="str">
        <f t="shared" ref="A182:A191" si="85">"20140724"</f>
        <v>20140724</v>
      </c>
      <c r="B182" s="8" t="str">
        <f t="shared" ref="B182:B191" si="86">"20140724"</f>
        <v>20140724</v>
      </c>
      <c r="C182" s="8" t="str">
        <f t="shared" ref="C182:C185" si="87">"证券卖出"</f>
        <v>证券卖出</v>
      </c>
      <c r="D182" s="8" t="str">
        <f t="shared" ref="D182:D185" si="88">"600066"</f>
        <v>600066</v>
      </c>
      <c r="E182" s="8" t="str">
        <f t="shared" ref="E182:E185" si="89">"宇通客车"</f>
        <v>宇通客车</v>
      </c>
      <c r="F182" s="8">
        <v>18.25</v>
      </c>
      <c r="G182" s="8">
        <v>800</v>
      </c>
      <c r="H182" s="8">
        <v>14600</v>
      </c>
      <c r="I182" s="11">
        <v>14568.85</v>
      </c>
      <c r="J182" s="8">
        <v>14822.49</v>
      </c>
      <c r="K182" s="8">
        <v>3000</v>
      </c>
    </row>
    <row r="183" spans="1:11">
      <c r="A183" s="8" t="str">
        <f t="shared" si="85"/>
        <v>20140724</v>
      </c>
      <c r="B183" s="8" t="str">
        <f t="shared" si="86"/>
        <v>20140724</v>
      </c>
      <c r="C183" s="8" t="str">
        <f t="shared" ref="C183:C188" si="90">"证券买入"</f>
        <v>证券买入</v>
      </c>
      <c r="D183" s="8" t="str">
        <f>"601607"</f>
        <v>601607</v>
      </c>
      <c r="E183" s="8" t="str">
        <f>"上海医药"</f>
        <v>上海医药</v>
      </c>
      <c r="F183" s="8">
        <v>12.35</v>
      </c>
      <c r="G183" s="8">
        <v>1100</v>
      </c>
      <c r="H183" s="8">
        <v>13585</v>
      </c>
      <c r="I183" s="11">
        <v>-13600.6</v>
      </c>
      <c r="J183" s="8">
        <v>1221.89</v>
      </c>
      <c r="K183" s="8">
        <v>1300</v>
      </c>
    </row>
    <row r="184" spans="1:11">
      <c r="A184" s="8" t="str">
        <f t="shared" si="85"/>
        <v>20140724</v>
      </c>
      <c r="B184" s="8" t="str">
        <f t="shared" si="86"/>
        <v>20140724</v>
      </c>
      <c r="C184" s="8" t="str">
        <f t="shared" si="87"/>
        <v>证券卖出</v>
      </c>
      <c r="D184" s="8" t="str">
        <f t="shared" si="88"/>
        <v>600066</v>
      </c>
      <c r="E184" s="8" t="str">
        <f t="shared" si="89"/>
        <v>宇通客车</v>
      </c>
      <c r="F184" s="8">
        <v>18.17</v>
      </c>
      <c r="G184" s="8">
        <v>1000</v>
      </c>
      <c r="H184" s="8">
        <v>18170</v>
      </c>
      <c r="I184" s="11">
        <v>18131.24</v>
      </c>
      <c r="J184" s="8">
        <v>19353.13</v>
      </c>
      <c r="K184" s="8">
        <v>2000</v>
      </c>
    </row>
    <row r="185" spans="1:11">
      <c r="A185" s="8" t="str">
        <f t="shared" si="85"/>
        <v>20140724</v>
      </c>
      <c r="B185" s="8" t="str">
        <f t="shared" si="86"/>
        <v>20140724</v>
      </c>
      <c r="C185" s="8" t="str">
        <f t="shared" si="87"/>
        <v>证券卖出</v>
      </c>
      <c r="D185" s="8" t="str">
        <f t="shared" si="88"/>
        <v>600066</v>
      </c>
      <c r="E185" s="8" t="str">
        <f t="shared" si="89"/>
        <v>宇通客车</v>
      </c>
      <c r="F185" s="8">
        <v>18.18</v>
      </c>
      <c r="G185" s="8">
        <v>1000</v>
      </c>
      <c r="H185" s="8">
        <v>18180</v>
      </c>
      <c r="I185" s="11">
        <v>18141.22</v>
      </c>
      <c r="J185" s="8">
        <v>37494.35</v>
      </c>
      <c r="K185" s="8">
        <v>1000</v>
      </c>
    </row>
    <row r="186" spans="1:11">
      <c r="A186" s="8" t="str">
        <f t="shared" si="85"/>
        <v>20140724</v>
      </c>
      <c r="B186" s="8" t="str">
        <f t="shared" si="86"/>
        <v>20140724</v>
      </c>
      <c r="C186" s="8" t="str">
        <f t="shared" si="90"/>
        <v>证券买入</v>
      </c>
      <c r="D186" s="8" t="str">
        <f>"601607"</f>
        <v>601607</v>
      </c>
      <c r="E186" s="8" t="str">
        <f>"上海医药"</f>
        <v>上海医药</v>
      </c>
      <c r="F186" s="8">
        <v>12.27</v>
      </c>
      <c r="G186" s="8">
        <v>1700</v>
      </c>
      <c r="H186" s="8">
        <v>20859</v>
      </c>
      <c r="I186" s="11">
        <v>-20882.96</v>
      </c>
      <c r="J186" s="8">
        <v>16611.39</v>
      </c>
      <c r="K186" s="8">
        <v>3000</v>
      </c>
    </row>
    <row r="187" spans="1:11">
      <c r="A187" s="8" t="str">
        <f t="shared" si="85"/>
        <v>20140724</v>
      </c>
      <c r="B187" s="8" t="str">
        <f t="shared" si="86"/>
        <v>20140724</v>
      </c>
      <c r="C187" s="8" t="str">
        <f t="shared" ref="C187:C192" si="91">"证券卖出"</f>
        <v>证券卖出</v>
      </c>
      <c r="D187" s="8" t="str">
        <f>"600066"</f>
        <v>600066</v>
      </c>
      <c r="E187" s="8" t="str">
        <f>"宇通客车"</f>
        <v>宇通客车</v>
      </c>
      <c r="F187" s="8">
        <v>18.16</v>
      </c>
      <c r="G187" s="8">
        <v>1000</v>
      </c>
      <c r="H187" s="8">
        <v>18160</v>
      </c>
      <c r="I187" s="11">
        <v>18121.26</v>
      </c>
      <c r="J187" s="8">
        <v>34732.65</v>
      </c>
      <c r="K187" s="8">
        <v>0</v>
      </c>
    </row>
    <row r="188" spans="1:11">
      <c r="A188" s="8" t="str">
        <f t="shared" si="85"/>
        <v>20140724</v>
      </c>
      <c r="B188" s="8" t="str">
        <f t="shared" si="86"/>
        <v>20140724</v>
      </c>
      <c r="C188" s="8" t="str">
        <f t="shared" si="90"/>
        <v>证券买入</v>
      </c>
      <c r="D188" s="8" t="str">
        <f>"000606"</f>
        <v>000606</v>
      </c>
      <c r="E188" s="8" t="str">
        <f>"青海明胶"</f>
        <v>青海明胶</v>
      </c>
      <c r="F188" s="8">
        <v>5.89</v>
      </c>
      <c r="G188" s="8">
        <v>2000</v>
      </c>
      <c r="H188" s="8">
        <v>11780</v>
      </c>
      <c r="I188" s="11">
        <v>-11792.96</v>
      </c>
      <c r="J188" s="8">
        <v>22939.69</v>
      </c>
      <c r="K188" s="8">
        <v>2100</v>
      </c>
    </row>
    <row r="189" spans="1:11">
      <c r="A189" s="8" t="str">
        <f t="shared" si="85"/>
        <v>20140724</v>
      </c>
      <c r="B189" s="8" t="str">
        <f t="shared" si="86"/>
        <v>20140724</v>
      </c>
      <c r="C189" s="8" t="str">
        <f t="shared" si="91"/>
        <v>证券卖出</v>
      </c>
      <c r="D189" s="8" t="str">
        <f>"000606"</f>
        <v>000606</v>
      </c>
      <c r="E189" s="8" t="str">
        <f>"青海明胶"</f>
        <v>青海明胶</v>
      </c>
      <c r="F189" s="8">
        <v>5.88</v>
      </c>
      <c r="G189" s="8">
        <v>100</v>
      </c>
      <c r="H189" s="8">
        <v>588</v>
      </c>
      <c r="I189" s="11">
        <v>582.41</v>
      </c>
      <c r="J189" s="8">
        <v>23522.1</v>
      </c>
      <c r="K189" s="8">
        <v>2000</v>
      </c>
    </row>
    <row r="190" spans="1:11">
      <c r="A190" s="8" t="str">
        <f t="shared" si="85"/>
        <v>20140724</v>
      </c>
      <c r="B190" s="8" t="str">
        <f t="shared" si="86"/>
        <v>20140724</v>
      </c>
      <c r="C190" s="8" t="str">
        <f t="shared" ref="C190:C195" si="92">"证券买入"</f>
        <v>证券买入</v>
      </c>
      <c r="D190" s="8" t="str">
        <f>"511990"</f>
        <v>511990</v>
      </c>
      <c r="E190" s="8" t="str">
        <f>"华宝添益"</f>
        <v>华宝添益</v>
      </c>
      <c r="F190" s="8">
        <v>99.967</v>
      </c>
      <c r="G190" s="8">
        <v>200</v>
      </c>
      <c r="H190" s="8">
        <v>19993.4</v>
      </c>
      <c r="I190" s="11">
        <v>-19993.4</v>
      </c>
      <c r="J190" s="8">
        <v>3528.7</v>
      </c>
      <c r="K190" s="8">
        <v>200</v>
      </c>
    </row>
    <row r="191" spans="1:11">
      <c r="A191" s="8" t="str">
        <f t="shared" si="85"/>
        <v>20140724</v>
      </c>
      <c r="B191" s="8" t="str">
        <f t="shared" si="86"/>
        <v>20140724</v>
      </c>
      <c r="C191" s="8" t="str">
        <f t="shared" si="92"/>
        <v>证券买入</v>
      </c>
      <c r="D191" s="8" t="str">
        <f>"122535"</f>
        <v>122535</v>
      </c>
      <c r="E191" s="8" t="str">
        <f>"12苏飞达"</f>
        <v>12苏飞达</v>
      </c>
      <c r="F191" s="8">
        <v>101.9</v>
      </c>
      <c r="G191" s="8">
        <v>30</v>
      </c>
      <c r="H191" s="8">
        <v>3057.01</v>
      </c>
      <c r="I191" s="11">
        <v>-3058.01</v>
      </c>
      <c r="J191" s="8">
        <v>470.69</v>
      </c>
      <c r="K191" s="8">
        <v>30</v>
      </c>
    </row>
    <row r="192" spans="1:11">
      <c r="A192" s="8" t="str">
        <f t="shared" ref="A192:A195" si="93">"20140725"</f>
        <v>20140725</v>
      </c>
      <c r="B192" s="8" t="str">
        <f t="shared" ref="B192:B195" si="94">"20140725"</f>
        <v>20140725</v>
      </c>
      <c r="C192" s="8" t="str">
        <f t="shared" si="91"/>
        <v>证券卖出</v>
      </c>
      <c r="D192" s="8" t="str">
        <f>"511990"</f>
        <v>511990</v>
      </c>
      <c r="E192" s="8" t="str">
        <f>"华宝添益"</f>
        <v>华宝添益</v>
      </c>
      <c r="F192" s="8">
        <v>100.012</v>
      </c>
      <c r="G192" s="8">
        <v>200</v>
      </c>
      <c r="H192" s="8">
        <v>20002.4</v>
      </c>
      <c r="I192" s="11">
        <v>20002.4</v>
      </c>
      <c r="J192" s="8">
        <v>20473.09</v>
      </c>
      <c r="K192" s="8">
        <v>0</v>
      </c>
    </row>
    <row r="193" spans="1:11">
      <c r="A193" s="8" t="str">
        <f t="shared" si="93"/>
        <v>20140725</v>
      </c>
      <c r="B193" s="8" t="str">
        <f t="shared" si="94"/>
        <v>20140725</v>
      </c>
      <c r="C193" s="8" t="str">
        <f t="shared" si="92"/>
        <v>证券买入</v>
      </c>
      <c r="D193" s="8" t="str">
        <f>"601607"</f>
        <v>601607</v>
      </c>
      <c r="E193" s="8" t="str">
        <f>"上海医药"</f>
        <v>上海医药</v>
      </c>
      <c r="F193" s="8">
        <v>12.44</v>
      </c>
      <c r="G193" s="8">
        <v>500</v>
      </c>
      <c r="H193" s="8">
        <v>6220</v>
      </c>
      <c r="I193" s="11">
        <v>-6227.14</v>
      </c>
      <c r="J193" s="8">
        <v>14245.95</v>
      </c>
      <c r="K193" s="8">
        <v>3500</v>
      </c>
    </row>
    <row r="194" spans="1:11">
      <c r="A194" s="8" t="str">
        <f t="shared" si="93"/>
        <v>20140725</v>
      </c>
      <c r="B194" s="8" t="str">
        <f t="shared" si="94"/>
        <v>20140725</v>
      </c>
      <c r="C194" s="8" t="str">
        <f t="shared" si="92"/>
        <v>证券买入</v>
      </c>
      <c r="D194" s="8" t="str">
        <f>"601166"</f>
        <v>601166</v>
      </c>
      <c r="E194" s="8" t="str">
        <f>"兴业银行"</f>
        <v>兴业银行</v>
      </c>
      <c r="F194" s="8">
        <v>10.31</v>
      </c>
      <c r="G194" s="8">
        <v>500</v>
      </c>
      <c r="H194" s="8">
        <v>5155</v>
      </c>
      <c r="I194" s="11">
        <v>-5160.97</v>
      </c>
      <c r="J194" s="8">
        <v>9084.98</v>
      </c>
      <c r="K194" s="8">
        <v>500</v>
      </c>
    </row>
    <row r="195" spans="1:11">
      <c r="A195" s="8" t="str">
        <f t="shared" si="93"/>
        <v>20140725</v>
      </c>
      <c r="B195" s="8" t="str">
        <f t="shared" si="94"/>
        <v>20140725</v>
      </c>
      <c r="C195" s="8" t="str">
        <f t="shared" si="92"/>
        <v>证券买入</v>
      </c>
      <c r="D195" s="8" t="str">
        <f>"601088"</f>
        <v>601088</v>
      </c>
      <c r="E195" s="8" t="str">
        <f>"中国神华"</f>
        <v>中国神华</v>
      </c>
      <c r="F195" s="8">
        <v>14.46</v>
      </c>
      <c r="G195" s="8">
        <v>600</v>
      </c>
      <c r="H195" s="8">
        <v>8676</v>
      </c>
      <c r="I195" s="11">
        <v>-8685.9</v>
      </c>
      <c r="J195" s="8">
        <v>399.08</v>
      </c>
      <c r="K195" s="8">
        <v>600</v>
      </c>
    </row>
    <row r="196" spans="1:11">
      <c r="A196" s="8" t="str">
        <f t="shared" ref="A196:A200" si="95">"20140728"</f>
        <v>20140728</v>
      </c>
      <c r="B196" s="8" t="str">
        <f t="shared" ref="B196:B199" si="96">"20140728"</f>
        <v>20140728</v>
      </c>
      <c r="C196" s="8" t="str">
        <f t="shared" ref="C196:C199" si="97">"证券卖出"</f>
        <v>证券卖出</v>
      </c>
      <c r="D196" s="8" t="str">
        <f>"601088"</f>
        <v>601088</v>
      </c>
      <c r="E196" s="8" t="str">
        <f>"中国神华"</f>
        <v>中国神华</v>
      </c>
      <c r="F196" s="8">
        <v>15.32</v>
      </c>
      <c r="G196" s="8">
        <v>600</v>
      </c>
      <c r="H196" s="8">
        <v>9192</v>
      </c>
      <c r="I196" s="11">
        <v>9172.33</v>
      </c>
      <c r="J196" s="8">
        <v>9571.41</v>
      </c>
      <c r="K196" s="8">
        <v>0</v>
      </c>
    </row>
    <row r="197" spans="1:11">
      <c r="A197" s="8" t="str">
        <f t="shared" si="95"/>
        <v>20140728</v>
      </c>
      <c r="B197" s="8" t="str">
        <f t="shared" si="96"/>
        <v>20140728</v>
      </c>
      <c r="C197" s="8" t="str">
        <f t="shared" ref="C197:C202" si="98">"证券买入"</f>
        <v>证券买入</v>
      </c>
      <c r="D197" s="8" t="str">
        <f t="shared" ref="D197:D201" si="99">"601607"</f>
        <v>601607</v>
      </c>
      <c r="E197" s="8" t="str">
        <f t="shared" ref="E197:E201" si="100">"上海医药"</f>
        <v>上海医药</v>
      </c>
      <c r="F197" s="8">
        <v>12.67</v>
      </c>
      <c r="G197" s="8">
        <v>500</v>
      </c>
      <c r="H197" s="8">
        <v>6335</v>
      </c>
      <c r="I197" s="11">
        <v>-6342.27</v>
      </c>
      <c r="J197" s="8">
        <v>3229.14</v>
      </c>
      <c r="K197" s="8">
        <v>4000</v>
      </c>
    </row>
    <row r="198" spans="1:11">
      <c r="A198" s="8" t="str">
        <f t="shared" si="95"/>
        <v>20140728</v>
      </c>
      <c r="B198" s="8" t="str">
        <f t="shared" si="96"/>
        <v>20140728</v>
      </c>
      <c r="C198" s="8" t="str">
        <f t="shared" si="97"/>
        <v>证券卖出</v>
      </c>
      <c r="D198" s="8" t="str">
        <f>"601166"</f>
        <v>601166</v>
      </c>
      <c r="E198" s="8" t="str">
        <f>"兴业银行"</f>
        <v>兴业银行</v>
      </c>
      <c r="F198" s="8">
        <v>10.86</v>
      </c>
      <c r="G198" s="8">
        <v>500</v>
      </c>
      <c r="H198" s="8">
        <v>5430</v>
      </c>
      <c r="I198" s="11">
        <v>5418.3</v>
      </c>
      <c r="J198" s="8">
        <v>8647.44</v>
      </c>
      <c r="K198" s="8">
        <v>0</v>
      </c>
    </row>
    <row r="199" spans="1:11">
      <c r="A199" s="8" t="str">
        <f t="shared" si="95"/>
        <v>20140728</v>
      </c>
      <c r="B199" s="8" t="str">
        <f t="shared" si="96"/>
        <v>20140728</v>
      </c>
      <c r="C199" s="8" t="str">
        <f t="shared" si="97"/>
        <v>证券卖出</v>
      </c>
      <c r="D199" s="8" t="str">
        <f t="shared" si="99"/>
        <v>601607</v>
      </c>
      <c r="E199" s="8" t="str">
        <f t="shared" si="100"/>
        <v>上海医药</v>
      </c>
      <c r="F199" s="8">
        <v>12.79</v>
      </c>
      <c r="G199" s="8">
        <v>500</v>
      </c>
      <c r="H199" s="8">
        <v>6395</v>
      </c>
      <c r="I199" s="11">
        <v>6381.27</v>
      </c>
      <c r="J199" s="8">
        <v>15028.71</v>
      </c>
      <c r="K199" s="8">
        <v>3500</v>
      </c>
    </row>
    <row r="200" spans="1:11">
      <c r="A200" s="8" t="str">
        <f t="shared" si="95"/>
        <v>20140728</v>
      </c>
      <c r="B200" s="8" t="str">
        <f>"20140725"</f>
        <v>20140725</v>
      </c>
      <c r="C200" s="8" t="str">
        <f>"ETF 申购退款"</f>
        <v>ETF 申购退款</v>
      </c>
      <c r="D200" s="8" t="str">
        <f>"511990"</f>
        <v>511990</v>
      </c>
      <c r="E200" s="8" t="str">
        <f>"华宝添益"</f>
        <v>华宝添益</v>
      </c>
      <c r="F200" s="8">
        <v>0</v>
      </c>
      <c r="G200" s="8">
        <v>0</v>
      </c>
      <c r="H200" s="8">
        <v>2.15</v>
      </c>
      <c r="I200" s="11">
        <v>2.15</v>
      </c>
      <c r="J200" s="8">
        <v>15030.86</v>
      </c>
      <c r="K200" s="8">
        <v>0</v>
      </c>
    </row>
    <row r="201" spans="1:11">
      <c r="A201" s="8" t="str">
        <f>"20140729"</f>
        <v>20140729</v>
      </c>
      <c r="B201" s="8" t="str">
        <f>"20140729"</f>
        <v>20140729</v>
      </c>
      <c r="C201" s="8" t="str">
        <f t="shared" si="98"/>
        <v>证券买入</v>
      </c>
      <c r="D201" s="8" t="str">
        <f t="shared" si="99"/>
        <v>601607</v>
      </c>
      <c r="E201" s="8" t="str">
        <f t="shared" si="100"/>
        <v>上海医药</v>
      </c>
      <c r="F201" s="8">
        <v>12.75</v>
      </c>
      <c r="G201" s="8">
        <v>500</v>
      </c>
      <c r="H201" s="8">
        <v>6375</v>
      </c>
      <c r="I201" s="11">
        <v>-6382.31</v>
      </c>
      <c r="J201" s="8">
        <v>8648.55</v>
      </c>
      <c r="K201" s="8">
        <v>4000</v>
      </c>
    </row>
    <row r="202" spans="1:11">
      <c r="A202" s="8" t="str">
        <f>"20140730"</f>
        <v>20140730</v>
      </c>
      <c r="B202" s="8" t="str">
        <f>"20140730"</f>
        <v>20140730</v>
      </c>
      <c r="C202" s="8" t="str">
        <f t="shared" si="98"/>
        <v>证券买入</v>
      </c>
      <c r="D202" s="8" t="str">
        <f>"150181"</f>
        <v>150181</v>
      </c>
      <c r="E202" s="8" t="str">
        <f>"军工A"</f>
        <v>军工A</v>
      </c>
      <c r="F202" s="8">
        <v>0.895</v>
      </c>
      <c r="G202" s="8">
        <v>9600</v>
      </c>
      <c r="H202" s="8">
        <v>8592</v>
      </c>
      <c r="I202" s="11">
        <v>-8601.45</v>
      </c>
      <c r="J202" s="8">
        <v>47.1</v>
      </c>
      <c r="K202" s="8">
        <v>9600</v>
      </c>
    </row>
    <row r="203" spans="1:11">
      <c r="A203" s="8" t="str">
        <f>"20140801"</f>
        <v>20140801</v>
      </c>
      <c r="B203" s="8" t="str">
        <f>"20140801"</f>
        <v>20140801</v>
      </c>
      <c r="C203" s="8" t="str">
        <f>"证券卖出"</f>
        <v>证券卖出</v>
      </c>
      <c r="D203" s="8" t="str">
        <f>"122535"</f>
        <v>122535</v>
      </c>
      <c r="E203" s="8" t="str">
        <f>"12苏飞达"</f>
        <v>12苏飞达</v>
      </c>
      <c r="F203" s="8">
        <v>102.847</v>
      </c>
      <c r="G203" s="8">
        <v>30</v>
      </c>
      <c r="H203" s="8">
        <v>3085.41</v>
      </c>
      <c r="I203" s="11">
        <v>3084.41</v>
      </c>
      <c r="J203" s="8">
        <v>3131.51</v>
      </c>
      <c r="K203" s="8">
        <v>0</v>
      </c>
    </row>
    <row r="204" spans="1:11">
      <c r="A204" s="8" t="str">
        <f>"20140801"</f>
        <v>20140801</v>
      </c>
      <c r="B204" s="8" t="str">
        <f>"20140801"</f>
        <v>20140801</v>
      </c>
      <c r="C204" s="8" t="str">
        <f t="shared" ref="C204:C211" si="101">"证券买入"</f>
        <v>证券买入</v>
      </c>
      <c r="D204" s="8" t="str">
        <f>"150181"</f>
        <v>150181</v>
      </c>
      <c r="E204" s="8" t="str">
        <f>"军工A"</f>
        <v>军工A</v>
      </c>
      <c r="F204" s="8">
        <v>0.887</v>
      </c>
      <c r="G204" s="8">
        <v>3500</v>
      </c>
      <c r="H204" s="8">
        <v>3104.5</v>
      </c>
      <c r="I204" s="11">
        <v>-3109.5</v>
      </c>
      <c r="J204" s="8">
        <v>22.01</v>
      </c>
      <c r="K204" s="8">
        <v>13100</v>
      </c>
    </row>
    <row r="205" spans="1:11">
      <c r="A205" s="8" t="str">
        <f>"20140813"</f>
        <v>20140813</v>
      </c>
      <c r="B205" s="8" t="str">
        <f t="shared" ref="B205:B208" si="102">"20140813"</f>
        <v>20140813</v>
      </c>
      <c r="C205" s="8" t="str">
        <f>"银行转证券"</f>
        <v>银行转证券</v>
      </c>
      <c r="D205" s="8"/>
      <c r="E205" s="8"/>
      <c r="F205" s="8">
        <v>0</v>
      </c>
      <c r="G205" s="8">
        <v>0</v>
      </c>
      <c r="H205" s="8">
        <v>0</v>
      </c>
      <c r="I205" s="11">
        <v>40000</v>
      </c>
      <c r="J205" s="8">
        <v>40022.01</v>
      </c>
      <c r="K205" s="8">
        <v>0</v>
      </c>
    </row>
    <row r="206" spans="1:11">
      <c r="A206" s="8" t="str">
        <f>"20140813"</f>
        <v>20140813</v>
      </c>
      <c r="B206" s="8" t="str">
        <f t="shared" si="102"/>
        <v>20140813</v>
      </c>
      <c r="C206" s="8" t="str">
        <f t="shared" si="101"/>
        <v>证券买入</v>
      </c>
      <c r="D206" s="8" t="str">
        <f>"511990"</f>
        <v>511990</v>
      </c>
      <c r="E206" s="8" t="str">
        <f>"华宝添益"</f>
        <v>华宝添益</v>
      </c>
      <c r="F206" s="8">
        <v>99.993</v>
      </c>
      <c r="G206" s="8">
        <v>400</v>
      </c>
      <c r="H206" s="8">
        <v>39997.2</v>
      </c>
      <c r="I206" s="11">
        <v>-39997.2</v>
      </c>
      <c r="J206" s="8">
        <v>24.81</v>
      </c>
      <c r="K206" s="8">
        <v>400</v>
      </c>
    </row>
    <row r="207" spans="1:11">
      <c r="A207" s="8" t="str">
        <f>"20140814"</f>
        <v>20140814</v>
      </c>
      <c r="B207" s="8" t="str">
        <f t="shared" si="102"/>
        <v>20140813</v>
      </c>
      <c r="C207" s="8" t="str">
        <f>"ETF 基金赎回"</f>
        <v>ETF 基金赎回</v>
      </c>
      <c r="D207" s="8" t="str">
        <f>"511991"</f>
        <v>511991</v>
      </c>
      <c r="E207" s="8" t="str">
        <f>"添益申赎"</f>
        <v>添益申赎</v>
      </c>
      <c r="F207" s="8">
        <v>0</v>
      </c>
      <c r="G207" s="8">
        <v>400</v>
      </c>
      <c r="H207" s="8">
        <v>0</v>
      </c>
      <c r="I207" s="11">
        <v>0</v>
      </c>
      <c r="J207" s="8">
        <v>24.81</v>
      </c>
      <c r="K207" s="8">
        <v>0</v>
      </c>
    </row>
    <row r="208" spans="1:11">
      <c r="A208" s="8" t="str">
        <f>"20140814"</f>
        <v>20140814</v>
      </c>
      <c r="B208" s="8" t="str">
        <f t="shared" si="102"/>
        <v>20140813</v>
      </c>
      <c r="C208" s="8" t="str">
        <f>"ETF 申购退款"</f>
        <v>ETF 申购退款</v>
      </c>
      <c r="D208" s="8" t="str">
        <f>"511990"</f>
        <v>511990</v>
      </c>
      <c r="E208" s="8" t="str">
        <f>"华宝添益"</f>
        <v>华宝添益</v>
      </c>
      <c r="F208" s="8">
        <v>0</v>
      </c>
      <c r="G208" s="8">
        <v>0</v>
      </c>
      <c r="H208" s="8">
        <v>40004.19</v>
      </c>
      <c r="I208" s="11">
        <v>40004.19</v>
      </c>
      <c r="J208" s="8">
        <v>40029</v>
      </c>
      <c r="K208" s="8">
        <v>0</v>
      </c>
    </row>
    <row r="209" spans="1:11">
      <c r="A209" s="8" t="str">
        <f t="shared" ref="A209:A211" si="103">"20140815"</f>
        <v>20140815</v>
      </c>
      <c r="B209" s="8" t="str">
        <f t="shared" ref="B209:B211" si="104">"20140815"</f>
        <v>20140815</v>
      </c>
      <c r="C209" s="8" t="str">
        <f t="shared" si="101"/>
        <v>证券买入</v>
      </c>
      <c r="D209" s="8" t="str">
        <f>"000868"</f>
        <v>000868</v>
      </c>
      <c r="E209" s="8" t="str">
        <f>"安凯客车"</f>
        <v>安凯客车</v>
      </c>
      <c r="F209" s="8">
        <v>5.43</v>
      </c>
      <c r="G209" s="8">
        <v>500</v>
      </c>
      <c r="H209" s="8">
        <v>2715</v>
      </c>
      <c r="I209" s="11">
        <v>-2720</v>
      </c>
      <c r="J209" s="8">
        <v>37309</v>
      </c>
      <c r="K209" s="8">
        <v>500</v>
      </c>
    </row>
    <row r="210" spans="1:11">
      <c r="A210" s="8" t="str">
        <f t="shared" si="103"/>
        <v>20140815</v>
      </c>
      <c r="B210" s="8" t="str">
        <f t="shared" si="104"/>
        <v>20140815</v>
      </c>
      <c r="C210" s="8" t="str">
        <f t="shared" si="101"/>
        <v>证券买入</v>
      </c>
      <c r="D210" s="8" t="str">
        <f t="shared" ref="D210:D214" si="105">"150182"</f>
        <v>150182</v>
      </c>
      <c r="E210" s="8" t="str">
        <f t="shared" ref="E210:E214" si="106">"军工B"</f>
        <v>军工B</v>
      </c>
      <c r="F210" s="8">
        <v>1.513</v>
      </c>
      <c r="G210" s="8">
        <v>5000</v>
      </c>
      <c r="H210" s="8">
        <v>7565</v>
      </c>
      <c r="I210" s="11">
        <v>-7570</v>
      </c>
      <c r="J210" s="8">
        <v>29739</v>
      </c>
      <c r="K210" s="8">
        <v>5000</v>
      </c>
    </row>
    <row r="211" spans="1:11">
      <c r="A211" s="8" t="str">
        <f t="shared" si="103"/>
        <v>20140815</v>
      </c>
      <c r="B211" s="8" t="str">
        <f t="shared" si="104"/>
        <v>20140815</v>
      </c>
      <c r="C211" s="8" t="str">
        <f t="shared" si="101"/>
        <v>证券买入</v>
      </c>
      <c r="D211" s="8" t="str">
        <f>"000868"</f>
        <v>000868</v>
      </c>
      <c r="E211" s="8" t="str">
        <f>"安凯客车"</f>
        <v>安凯客车</v>
      </c>
      <c r="F211" s="8">
        <v>5.44</v>
      </c>
      <c r="G211" s="8">
        <v>1500</v>
      </c>
      <c r="H211" s="8">
        <v>8160</v>
      </c>
      <c r="I211" s="11">
        <v>-8165</v>
      </c>
      <c r="J211" s="8">
        <v>21574</v>
      </c>
      <c r="K211" s="8">
        <v>2000</v>
      </c>
    </row>
    <row r="212" spans="1:11">
      <c r="A212" s="8" t="str">
        <f t="shared" ref="A212:A215" si="107">"20140818"</f>
        <v>20140818</v>
      </c>
      <c r="B212" s="8" t="str">
        <f t="shared" ref="B212:B215" si="108">"20140818"</f>
        <v>20140818</v>
      </c>
      <c r="C212" s="8" t="str">
        <f t="shared" ref="C212:C217" si="109">"证券卖出"</f>
        <v>证券卖出</v>
      </c>
      <c r="D212" s="8" t="str">
        <f t="shared" si="105"/>
        <v>150182</v>
      </c>
      <c r="E212" s="8" t="str">
        <f t="shared" si="106"/>
        <v>军工B</v>
      </c>
      <c r="F212" s="8">
        <v>1.535</v>
      </c>
      <c r="G212" s="8">
        <v>5000</v>
      </c>
      <c r="H212" s="8">
        <v>7675</v>
      </c>
      <c r="I212" s="11">
        <v>7670</v>
      </c>
      <c r="J212" s="8">
        <v>29244</v>
      </c>
      <c r="K212" s="8">
        <v>0</v>
      </c>
    </row>
    <row r="213" spans="1:11">
      <c r="A213" s="8" t="str">
        <f t="shared" si="107"/>
        <v>20140818</v>
      </c>
      <c r="B213" s="8" t="str">
        <f t="shared" si="108"/>
        <v>20140818</v>
      </c>
      <c r="C213" s="8" t="str">
        <f t="shared" si="109"/>
        <v>证券卖出</v>
      </c>
      <c r="D213" s="8" t="str">
        <f>"601607"</f>
        <v>601607</v>
      </c>
      <c r="E213" s="8" t="str">
        <f>"上海医药"</f>
        <v>上海医药</v>
      </c>
      <c r="F213" s="8">
        <v>12.93</v>
      </c>
      <c r="G213" s="8">
        <v>500</v>
      </c>
      <c r="H213" s="8">
        <v>6465</v>
      </c>
      <c r="I213" s="11">
        <v>6453.23</v>
      </c>
      <c r="J213" s="8">
        <v>35697.23</v>
      </c>
      <c r="K213" s="8">
        <v>3500</v>
      </c>
    </row>
    <row r="214" spans="1:11">
      <c r="A214" s="8" t="str">
        <f t="shared" si="107"/>
        <v>20140818</v>
      </c>
      <c r="B214" s="8" t="str">
        <f t="shared" si="108"/>
        <v>20140818</v>
      </c>
      <c r="C214" s="8" t="str">
        <f t="shared" ref="C214:C219" si="110">"证券买入"</f>
        <v>证券买入</v>
      </c>
      <c r="D214" s="8" t="str">
        <f t="shared" si="105"/>
        <v>150182</v>
      </c>
      <c r="E214" s="8" t="str">
        <f t="shared" si="106"/>
        <v>军工B</v>
      </c>
      <c r="F214" s="8">
        <v>1.527</v>
      </c>
      <c r="G214" s="8">
        <v>10000</v>
      </c>
      <c r="H214" s="8">
        <v>15270</v>
      </c>
      <c r="I214" s="11">
        <v>-15277.64</v>
      </c>
      <c r="J214" s="8">
        <v>20419.59</v>
      </c>
      <c r="K214" s="8">
        <v>10000</v>
      </c>
    </row>
    <row r="215" spans="1:11">
      <c r="A215" s="8" t="str">
        <f t="shared" si="107"/>
        <v>20140818</v>
      </c>
      <c r="B215" s="8" t="str">
        <f t="shared" si="108"/>
        <v>20140818</v>
      </c>
      <c r="C215" s="8" t="str">
        <f t="shared" si="110"/>
        <v>证券买入</v>
      </c>
      <c r="D215" s="8" t="str">
        <f>"150181"</f>
        <v>150181</v>
      </c>
      <c r="E215" s="8" t="str">
        <f>"军工A"</f>
        <v>军工A</v>
      </c>
      <c r="F215" s="8">
        <v>0.903</v>
      </c>
      <c r="G215" s="8">
        <v>10000</v>
      </c>
      <c r="H215" s="8">
        <v>9030</v>
      </c>
      <c r="I215" s="11">
        <v>-9035</v>
      </c>
      <c r="J215" s="8">
        <v>11384.59</v>
      </c>
      <c r="K215" s="8">
        <v>23100</v>
      </c>
    </row>
    <row r="216" spans="1:11">
      <c r="A216" s="8" t="str">
        <f t="shared" ref="A216:A219" si="111">"20140819"</f>
        <v>20140819</v>
      </c>
      <c r="B216" s="8" t="str">
        <f t="shared" ref="B216:B219" si="112">"20140819"</f>
        <v>20140819</v>
      </c>
      <c r="C216" s="8" t="str">
        <f t="shared" si="109"/>
        <v>证券卖出</v>
      </c>
      <c r="D216" s="8" t="str">
        <f t="shared" ref="D216:D218" si="113">"150182"</f>
        <v>150182</v>
      </c>
      <c r="E216" s="8" t="str">
        <f t="shared" ref="E216:E218" si="114">"军工B"</f>
        <v>军工B</v>
      </c>
      <c r="F216" s="8">
        <v>1.578</v>
      </c>
      <c r="G216" s="8">
        <v>2500</v>
      </c>
      <c r="H216" s="8">
        <v>3945</v>
      </c>
      <c r="I216" s="11">
        <v>3940</v>
      </c>
      <c r="J216" s="8">
        <v>15324.59</v>
      </c>
      <c r="K216" s="8">
        <v>7500</v>
      </c>
    </row>
    <row r="217" spans="1:11">
      <c r="A217" s="8" t="str">
        <f t="shared" si="111"/>
        <v>20140819</v>
      </c>
      <c r="B217" s="8" t="str">
        <f t="shared" si="112"/>
        <v>20140819</v>
      </c>
      <c r="C217" s="8" t="str">
        <f t="shared" si="109"/>
        <v>证券卖出</v>
      </c>
      <c r="D217" s="8" t="str">
        <f t="shared" si="113"/>
        <v>150182</v>
      </c>
      <c r="E217" s="8" t="str">
        <f t="shared" si="114"/>
        <v>军工B</v>
      </c>
      <c r="F217" s="8">
        <v>1.565</v>
      </c>
      <c r="G217" s="8">
        <v>5000</v>
      </c>
      <c r="H217" s="8">
        <v>7825</v>
      </c>
      <c r="I217" s="11">
        <v>7820</v>
      </c>
      <c r="J217" s="8">
        <v>23144.59</v>
      </c>
      <c r="K217" s="8">
        <v>2500</v>
      </c>
    </row>
    <row r="218" spans="1:11">
      <c r="A218" s="8" t="str">
        <f t="shared" si="111"/>
        <v>20140819</v>
      </c>
      <c r="B218" s="8" t="str">
        <f t="shared" si="112"/>
        <v>20140819</v>
      </c>
      <c r="C218" s="8" t="str">
        <f t="shared" si="110"/>
        <v>证券买入</v>
      </c>
      <c r="D218" s="8" t="str">
        <f t="shared" si="113"/>
        <v>150182</v>
      </c>
      <c r="E218" s="8" t="str">
        <f t="shared" si="114"/>
        <v>军工B</v>
      </c>
      <c r="F218" s="8">
        <v>1.55</v>
      </c>
      <c r="G218" s="8">
        <v>2500</v>
      </c>
      <c r="H218" s="8">
        <v>3875</v>
      </c>
      <c r="I218" s="11">
        <v>-3880</v>
      </c>
      <c r="J218" s="8">
        <v>19264.59</v>
      </c>
      <c r="K218" s="8">
        <v>5000</v>
      </c>
    </row>
    <row r="219" spans="1:11">
      <c r="A219" s="8" t="str">
        <f t="shared" si="111"/>
        <v>20140819</v>
      </c>
      <c r="B219" s="8" t="str">
        <f t="shared" si="112"/>
        <v>20140819</v>
      </c>
      <c r="C219" s="8" t="str">
        <f t="shared" si="110"/>
        <v>证券买入</v>
      </c>
      <c r="D219" s="8" t="str">
        <f t="shared" ref="D219:D222" si="115">"601607"</f>
        <v>601607</v>
      </c>
      <c r="E219" s="8" t="str">
        <f t="shared" ref="E219:E222" si="116">"上海医药"</f>
        <v>上海医药</v>
      </c>
      <c r="F219" s="8">
        <v>13.06</v>
      </c>
      <c r="G219" s="8">
        <v>1000</v>
      </c>
      <c r="H219" s="8">
        <v>13060</v>
      </c>
      <c r="I219" s="11">
        <v>-13067.13</v>
      </c>
      <c r="J219" s="8">
        <v>6197.46</v>
      </c>
      <c r="K219" s="8">
        <v>4500</v>
      </c>
    </row>
    <row r="220" spans="1:11">
      <c r="A220" s="8" t="str">
        <f>"20140821"</f>
        <v>20140821</v>
      </c>
      <c r="B220" s="8" t="str">
        <f>"20140821"</f>
        <v>20140821</v>
      </c>
      <c r="C220" s="8" t="str">
        <f t="shared" ref="C220:C223" si="117">"证券卖出"</f>
        <v>证券卖出</v>
      </c>
      <c r="D220" s="8" t="str">
        <f t="shared" ref="D220:D224" si="118">"150182"</f>
        <v>150182</v>
      </c>
      <c r="E220" s="8" t="str">
        <f t="shared" ref="E220:E224" si="119">"军工B"</f>
        <v>军工B</v>
      </c>
      <c r="F220" s="8">
        <v>1.576</v>
      </c>
      <c r="G220" s="8">
        <v>2500</v>
      </c>
      <c r="H220" s="8">
        <v>3940</v>
      </c>
      <c r="I220" s="11">
        <v>3935</v>
      </c>
      <c r="J220" s="8">
        <v>10132.46</v>
      </c>
      <c r="K220" s="8">
        <v>2500</v>
      </c>
    </row>
    <row r="221" spans="1:11">
      <c r="A221" s="8" t="str">
        <f t="shared" ref="A221:A224" si="120">"20140822"</f>
        <v>20140822</v>
      </c>
      <c r="B221" s="8" t="str">
        <f t="shared" ref="B221:B224" si="121">"20140822"</f>
        <v>20140822</v>
      </c>
      <c r="C221" s="8" t="str">
        <f t="shared" si="117"/>
        <v>证券卖出</v>
      </c>
      <c r="D221" s="8" t="str">
        <f t="shared" si="115"/>
        <v>601607</v>
      </c>
      <c r="E221" s="8" t="str">
        <f t="shared" si="116"/>
        <v>上海医药</v>
      </c>
      <c r="F221" s="8">
        <v>12.8</v>
      </c>
      <c r="G221" s="8">
        <v>1500</v>
      </c>
      <c r="H221" s="8">
        <v>19200</v>
      </c>
      <c r="I221" s="11">
        <v>19170.3</v>
      </c>
      <c r="J221" s="8">
        <v>29302.76</v>
      </c>
      <c r="K221" s="8">
        <v>3000</v>
      </c>
    </row>
    <row r="222" spans="1:11">
      <c r="A222" s="8" t="str">
        <f t="shared" si="120"/>
        <v>20140822</v>
      </c>
      <c r="B222" s="8" t="str">
        <f t="shared" si="121"/>
        <v>20140822</v>
      </c>
      <c r="C222" s="8" t="str">
        <f t="shared" ref="C222:C227" si="122">"证券买入"</f>
        <v>证券买入</v>
      </c>
      <c r="D222" s="8" t="str">
        <f t="shared" si="115"/>
        <v>601607</v>
      </c>
      <c r="E222" s="8" t="str">
        <f t="shared" si="116"/>
        <v>上海医药</v>
      </c>
      <c r="F222" s="8">
        <v>12.87</v>
      </c>
      <c r="G222" s="8">
        <v>1500</v>
      </c>
      <c r="H222" s="8">
        <v>19305</v>
      </c>
      <c r="I222" s="11">
        <v>-19315.55</v>
      </c>
      <c r="J222" s="8">
        <v>9987.21</v>
      </c>
      <c r="K222" s="8">
        <v>4500</v>
      </c>
    </row>
    <row r="223" spans="1:11">
      <c r="A223" s="8" t="str">
        <f t="shared" si="120"/>
        <v>20140822</v>
      </c>
      <c r="B223" s="8" t="str">
        <f t="shared" si="121"/>
        <v>20140822</v>
      </c>
      <c r="C223" s="8" t="str">
        <f t="shared" si="117"/>
        <v>证券卖出</v>
      </c>
      <c r="D223" s="8" t="str">
        <f t="shared" si="118"/>
        <v>150182</v>
      </c>
      <c r="E223" s="8" t="str">
        <f t="shared" si="119"/>
        <v>军工B</v>
      </c>
      <c r="F223" s="8">
        <v>1.578</v>
      </c>
      <c r="G223" s="8">
        <v>2500</v>
      </c>
      <c r="H223" s="8">
        <v>3945</v>
      </c>
      <c r="I223" s="11">
        <v>3940</v>
      </c>
      <c r="J223" s="8">
        <v>13927.21</v>
      </c>
      <c r="K223" s="8">
        <v>0</v>
      </c>
    </row>
    <row r="224" spans="1:11">
      <c r="A224" s="8" t="str">
        <f t="shared" si="120"/>
        <v>20140822</v>
      </c>
      <c r="B224" s="8" t="str">
        <f t="shared" si="121"/>
        <v>20140822</v>
      </c>
      <c r="C224" s="8" t="str">
        <f t="shared" si="122"/>
        <v>证券买入</v>
      </c>
      <c r="D224" s="8" t="str">
        <f t="shared" si="118"/>
        <v>150182</v>
      </c>
      <c r="E224" s="8" t="str">
        <f t="shared" si="119"/>
        <v>军工B</v>
      </c>
      <c r="F224" s="8">
        <v>1.573</v>
      </c>
      <c r="G224" s="8">
        <v>2500</v>
      </c>
      <c r="H224" s="8">
        <v>3932.5</v>
      </c>
      <c r="I224" s="11">
        <v>-3937.5</v>
      </c>
      <c r="J224" s="8">
        <v>9989.71</v>
      </c>
      <c r="K224" s="8">
        <v>2500</v>
      </c>
    </row>
    <row r="225" spans="1:11">
      <c r="A225" s="8" t="str">
        <f t="shared" ref="A225:A229" si="123">"20140825"</f>
        <v>20140825</v>
      </c>
      <c r="B225" s="8" t="str">
        <f t="shared" ref="B225:B230" si="124">"20140825"</f>
        <v>20140825</v>
      </c>
      <c r="C225" s="8" t="str">
        <f>"证券转银行"</f>
        <v>证券转银行</v>
      </c>
      <c r="D225" s="8"/>
      <c r="E225" s="8"/>
      <c r="F225" s="8">
        <v>0</v>
      </c>
      <c r="G225" s="8">
        <v>0</v>
      </c>
      <c r="H225" s="8">
        <v>0</v>
      </c>
      <c r="I225" s="11">
        <v>-2880</v>
      </c>
      <c r="J225" s="8">
        <v>7109.71</v>
      </c>
      <c r="K225" s="8">
        <v>0</v>
      </c>
    </row>
    <row r="226" spans="1:11">
      <c r="A226" s="8" t="str">
        <f t="shared" si="123"/>
        <v>20140825</v>
      </c>
      <c r="B226" s="8" t="str">
        <f t="shared" si="124"/>
        <v>20140825</v>
      </c>
      <c r="C226" s="8" t="str">
        <f t="shared" si="122"/>
        <v>证券买入</v>
      </c>
      <c r="D226" s="8" t="str">
        <f t="shared" ref="D226:D231" si="125">"150182"</f>
        <v>150182</v>
      </c>
      <c r="E226" s="8" t="str">
        <f t="shared" ref="E226:E231" si="126">"军工B"</f>
        <v>军工B</v>
      </c>
      <c r="F226" s="8">
        <v>1.571</v>
      </c>
      <c r="G226" s="8">
        <v>2500</v>
      </c>
      <c r="H226" s="8">
        <v>3927.5</v>
      </c>
      <c r="I226" s="11">
        <v>-3932.5</v>
      </c>
      <c r="J226" s="8">
        <v>3177.21</v>
      </c>
      <c r="K226" s="8">
        <v>5000</v>
      </c>
    </row>
    <row r="227" spans="1:11">
      <c r="A227" s="8" t="str">
        <f t="shared" si="123"/>
        <v>20140825</v>
      </c>
      <c r="B227" s="8" t="str">
        <f t="shared" si="124"/>
        <v>20140825</v>
      </c>
      <c r="C227" s="8" t="str">
        <f t="shared" si="122"/>
        <v>证券买入</v>
      </c>
      <c r="D227" s="8" t="str">
        <f t="shared" si="125"/>
        <v>150182</v>
      </c>
      <c r="E227" s="8" t="str">
        <f t="shared" si="126"/>
        <v>军工B</v>
      </c>
      <c r="F227" s="8">
        <v>1.566</v>
      </c>
      <c r="G227" s="8">
        <v>2500</v>
      </c>
      <c r="H227" s="8">
        <v>3915</v>
      </c>
      <c r="I227" s="11">
        <v>-3920</v>
      </c>
      <c r="J227" s="8">
        <v>-742.79</v>
      </c>
      <c r="K227" s="8">
        <v>7500</v>
      </c>
    </row>
    <row r="228" spans="1:11">
      <c r="A228" s="8" t="str">
        <f t="shared" si="123"/>
        <v>20140825</v>
      </c>
      <c r="B228" s="8" t="str">
        <f t="shared" si="124"/>
        <v>20140825</v>
      </c>
      <c r="C228" s="8" t="str">
        <f>"证券卖出"</f>
        <v>证券卖出</v>
      </c>
      <c r="D228" s="8" t="str">
        <f>"000868"</f>
        <v>000868</v>
      </c>
      <c r="E228" s="8" t="str">
        <f>"安凯客车"</f>
        <v>安凯客车</v>
      </c>
      <c r="F228" s="8">
        <v>5.38</v>
      </c>
      <c r="G228" s="8">
        <v>2000</v>
      </c>
      <c r="H228" s="8">
        <v>10760</v>
      </c>
      <c r="I228" s="11">
        <v>10743.86</v>
      </c>
      <c r="J228" s="8">
        <v>10001.07</v>
      </c>
      <c r="K228" s="8">
        <v>0</v>
      </c>
    </row>
    <row r="229" spans="1:11">
      <c r="A229" s="8" t="str">
        <f t="shared" si="123"/>
        <v>20140825</v>
      </c>
      <c r="B229" s="8" t="str">
        <f t="shared" si="124"/>
        <v>20140825</v>
      </c>
      <c r="C229" s="8" t="str">
        <f t="shared" ref="C229:C234" si="127">"证券买入"</f>
        <v>证券买入</v>
      </c>
      <c r="D229" s="8" t="str">
        <f t="shared" ref="D229:D234" si="128">"511990"</f>
        <v>511990</v>
      </c>
      <c r="E229" s="8" t="str">
        <f t="shared" ref="E229:E234" si="129">"华宝添益"</f>
        <v>华宝添益</v>
      </c>
      <c r="F229" s="8">
        <v>99.984</v>
      </c>
      <c r="G229" s="8">
        <v>100</v>
      </c>
      <c r="H229" s="8">
        <v>9998.4</v>
      </c>
      <c r="I229" s="11">
        <v>-9998.4</v>
      </c>
      <c r="J229" s="8">
        <v>2.67</v>
      </c>
      <c r="K229" s="8">
        <v>100</v>
      </c>
    </row>
    <row r="230" spans="1:11">
      <c r="A230" s="8" t="str">
        <f t="shared" ref="A230:A232" si="130">"20140826"</f>
        <v>20140826</v>
      </c>
      <c r="B230" s="8" t="str">
        <f t="shared" si="124"/>
        <v>20140825</v>
      </c>
      <c r="C230" s="8" t="str">
        <f>"ETF 基金赎回"</f>
        <v>ETF 基金赎回</v>
      </c>
      <c r="D230" s="8" t="str">
        <f>"511991"</f>
        <v>511991</v>
      </c>
      <c r="E230" s="8" t="str">
        <f>"添益申赎"</f>
        <v>添益申赎</v>
      </c>
      <c r="F230" s="8">
        <v>0</v>
      </c>
      <c r="G230" s="8">
        <v>100</v>
      </c>
      <c r="H230" s="8">
        <v>0</v>
      </c>
      <c r="I230" s="11">
        <v>0</v>
      </c>
      <c r="J230" s="8">
        <v>2.67</v>
      </c>
      <c r="K230" s="8">
        <v>0</v>
      </c>
    </row>
    <row r="231" spans="1:11">
      <c r="A231" s="8" t="str">
        <f t="shared" si="130"/>
        <v>20140826</v>
      </c>
      <c r="B231" s="8" t="str">
        <f>"20140826"</f>
        <v>20140826</v>
      </c>
      <c r="C231" s="8" t="str">
        <f>"证券卖出"</f>
        <v>证券卖出</v>
      </c>
      <c r="D231" s="8" t="str">
        <f t="shared" si="125"/>
        <v>150182</v>
      </c>
      <c r="E231" s="8" t="str">
        <f t="shared" si="126"/>
        <v>军工B</v>
      </c>
      <c r="F231" s="8">
        <v>1.54</v>
      </c>
      <c r="G231" s="8">
        <v>7500</v>
      </c>
      <c r="H231" s="8">
        <v>11550</v>
      </c>
      <c r="I231" s="11">
        <v>11544.22</v>
      </c>
      <c r="J231" s="8">
        <v>11546.89</v>
      </c>
      <c r="K231" s="8">
        <v>0</v>
      </c>
    </row>
    <row r="232" spans="1:11">
      <c r="A232" s="8" t="str">
        <f t="shared" si="130"/>
        <v>20140826</v>
      </c>
      <c r="B232" s="8" t="str">
        <f>"20140825"</f>
        <v>20140825</v>
      </c>
      <c r="C232" s="8" t="str">
        <f>"ETF 申购退款"</f>
        <v>ETF 申购退款</v>
      </c>
      <c r="D232" s="8" t="str">
        <f t="shared" si="128"/>
        <v>511990</v>
      </c>
      <c r="E232" s="8" t="str">
        <f t="shared" si="129"/>
        <v>华宝添益</v>
      </c>
      <c r="F232" s="8">
        <v>0</v>
      </c>
      <c r="G232" s="8">
        <v>0</v>
      </c>
      <c r="H232" s="8">
        <v>10001</v>
      </c>
      <c r="I232" s="11">
        <v>10001</v>
      </c>
      <c r="J232" s="8">
        <v>21547.89</v>
      </c>
      <c r="K232" s="8">
        <v>0</v>
      </c>
    </row>
    <row r="233" spans="1:11">
      <c r="A233" s="8" t="str">
        <f>"20140827"</f>
        <v>20140827</v>
      </c>
      <c r="B233" s="8" t="str">
        <f t="shared" ref="B233:B237" si="131">"20140827"</f>
        <v>20140827</v>
      </c>
      <c r="C233" s="8" t="str">
        <f t="shared" si="127"/>
        <v>证券买入</v>
      </c>
      <c r="D233" s="8" t="str">
        <f t="shared" si="128"/>
        <v>511990</v>
      </c>
      <c r="E233" s="8" t="str">
        <f t="shared" si="129"/>
        <v>华宝添益</v>
      </c>
      <c r="F233" s="8">
        <v>99.964</v>
      </c>
      <c r="G233" s="8">
        <v>100</v>
      </c>
      <c r="H233" s="8">
        <v>9996.4</v>
      </c>
      <c r="I233" s="11">
        <v>-9996.4</v>
      </c>
      <c r="J233" s="8">
        <v>11551.49</v>
      </c>
      <c r="K233" s="8">
        <v>100</v>
      </c>
    </row>
    <row r="234" spans="1:11">
      <c r="A234" s="8" t="str">
        <f>"20140827"</f>
        <v>20140827</v>
      </c>
      <c r="B234" s="8" t="str">
        <f t="shared" si="131"/>
        <v>20140827</v>
      </c>
      <c r="C234" s="8" t="str">
        <f t="shared" si="127"/>
        <v>证券买入</v>
      </c>
      <c r="D234" s="8" t="str">
        <f t="shared" si="128"/>
        <v>511990</v>
      </c>
      <c r="E234" s="8" t="str">
        <f t="shared" si="129"/>
        <v>华宝添益</v>
      </c>
      <c r="F234" s="8">
        <v>99.952</v>
      </c>
      <c r="G234" s="8">
        <v>100</v>
      </c>
      <c r="H234" s="8">
        <v>9995.2</v>
      </c>
      <c r="I234" s="11">
        <v>-9995.2</v>
      </c>
      <c r="J234" s="8">
        <v>1556.29</v>
      </c>
      <c r="K234" s="8">
        <v>200</v>
      </c>
    </row>
    <row r="235" spans="1:11">
      <c r="A235" s="8" t="str">
        <f t="shared" ref="A235:A237" si="132">"20140828"</f>
        <v>20140828</v>
      </c>
      <c r="B235" s="8" t="str">
        <f t="shared" si="131"/>
        <v>20140827</v>
      </c>
      <c r="C235" s="8" t="str">
        <f>"ETF 基金赎回"</f>
        <v>ETF 基金赎回</v>
      </c>
      <c r="D235" s="8" t="str">
        <f>"511991"</f>
        <v>511991</v>
      </c>
      <c r="E235" s="8" t="str">
        <f>"添益申赎"</f>
        <v>添益申赎</v>
      </c>
      <c r="F235" s="8">
        <v>0</v>
      </c>
      <c r="G235" s="8">
        <v>100</v>
      </c>
      <c r="H235" s="8">
        <v>0</v>
      </c>
      <c r="I235" s="11">
        <v>0</v>
      </c>
      <c r="J235" s="8">
        <v>1556.29</v>
      </c>
      <c r="K235" s="8">
        <v>0</v>
      </c>
    </row>
    <row r="236" spans="1:11">
      <c r="A236" s="8" t="str">
        <f t="shared" si="132"/>
        <v>20140828</v>
      </c>
      <c r="B236" s="8" t="str">
        <f t="shared" si="131"/>
        <v>20140827</v>
      </c>
      <c r="C236" s="8" t="str">
        <f>"ETF 基金赎回"</f>
        <v>ETF 基金赎回</v>
      </c>
      <c r="D236" s="8" t="str">
        <f>"511991"</f>
        <v>511991</v>
      </c>
      <c r="E236" s="8" t="str">
        <f>"添益申赎"</f>
        <v>添益申赎</v>
      </c>
      <c r="F236" s="8">
        <v>0</v>
      </c>
      <c r="G236" s="8">
        <v>100</v>
      </c>
      <c r="H236" s="8">
        <v>0</v>
      </c>
      <c r="I236" s="11">
        <v>0</v>
      </c>
      <c r="J236" s="8">
        <v>1556.29</v>
      </c>
      <c r="K236" s="8">
        <v>0</v>
      </c>
    </row>
    <row r="237" spans="1:11">
      <c r="A237" s="8" t="str">
        <f t="shared" si="132"/>
        <v>20140828</v>
      </c>
      <c r="B237" s="8" t="str">
        <f t="shared" si="131"/>
        <v>20140827</v>
      </c>
      <c r="C237" s="8" t="str">
        <f>"ETF 申购退款"</f>
        <v>ETF 申购退款</v>
      </c>
      <c r="D237" s="8" t="str">
        <f t="shared" ref="D237:D239" si="133">"511990"</f>
        <v>511990</v>
      </c>
      <c r="E237" s="8" t="str">
        <f t="shared" ref="E237:E239" si="134">"华宝添益"</f>
        <v>华宝添益</v>
      </c>
      <c r="F237" s="8">
        <v>0</v>
      </c>
      <c r="G237" s="8">
        <v>0</v>
      </c>
      <c r="H237" s="8">
        <v>20002.09</v>
      </c>
      <c r="I237" s="11">
        <v>20002.09</v>
      </c>
      <c r="J237" s="8">
        <v>21558.38</v>
      </c>
      <c r="K237" s="8">
        <v>0</v>
      </c>
    </row>
    <row r="238" spans="1:11">
      <c r="A238" s="8" t="str">
        <f>"20140829"</f>
        <v>20140829</v>
      </c>
      <c r="B238" s="8" t="str">
        <f>"20140829"</f>
        <v>20140829</v>
      </c>
      <c r="C238" s="8" t="str">
        <f>"证券买入"</f>
        <v>证券买入</v>
      </c>
      <c r="D238" s="8" t="str">
        <f t="shared" si="133"/>
        <v>511990</v>
      </c>
      <c r="E238" s="8" t="str">
        <f t="shared" si="134"/>
        <v>华宝添益</v>
      </c>
      <c r="F238" s="8">
        <v>99.969</v>
      </c>
      <c r="G238" s="8">
        <v>200</v>
      </c>
      <c r="H238" s="8">
        <v>19993.7</v>
      </c>
      <c r="I238" s="11">
        <v>-19993.7</v>
      </c>
      <c r="J238" s="8">
        <v>1564.68</v>
      </c>
      <c r="K238" s="8">
        <v>200</v>
      </c>
    </row>
    <row r="239" spans="1:11">
      <c r="A239" s="8" t="str">
        <f>"20140902"</f>
        <v>20140902</v>
      </c>
      <c r="B239" s="8" t="str">
        <f t="shared" ref="B239:B241" si="135">"20140902"</f>
        <v>20140902</v>
      </c>
      <c r="C239" s="8" t="str">
        <f t="shared" ref="C239:C243" si="136">"证券卖出"</f>
        <v>证券卖出</v>
      </c>
      <c r="D239" s="8" t="str">
        <f t="shared" si="133"/>
        <v>511990</v>
      </c>
      <c r="E239" s="8" t="str">
        <f t="shared" si="134"/>
        <v>华宝添益</v>
      </c>
      <c r="F239" s="8">
        <v>100.014</v>
      </c>
      <c r="G239" s="8">
        <v>200</v>
      </c>
      <c r="H239" s="8">
        <v>20002.8</v>
      </c>
      <c r="I239" s="11">
        <v>20002.8</v>
      </c>
      <c r="J239" s="8">
        <v>21567.48</v>
      </c>
      <c r="K239" s="8">
        <v>0</v>
      </c>
    </row>
    <row r="240" spans="1:11">
      <c r="A240" s="8" t="str">
        <f>"20140902"</f>
        <v>20140902</v>
      </c>
      <c r="B240" s="8" t="str">
        <f t="shared" si="135"/>
        <v>20140902</v>
      </c>
      <c r="C240" s="8" t="str">
        <f t="shared" ref="C240:C245" si="137">"证券买入"</f>
        <v>证券买入</v>
      </c>
      <c r="D240" s="8" t="str">
        <f>"601166"</f>
        <v>601166</v>
      </c>
      <c r="E240" s="8" t="str">
        <f>"兴业银行"</f>
        <v>兴业银行</v>
      </c>
      <c r="F240" s="8">
        <v>10.46</v>
      </c>
      <c r="G240" s="8">
        <v>500</v>
      </c>
      <c r="H240" s="8">
        <v>5230</v>
      </c>
      <c r="I240" s="11">
        <v>-5235.3</v>
      </c>
      <c r="J240" s="8">
        <v>16332.18</v>
      </c>
      <c r="K240" s="8">
        <v>500</v>
      </c>
    </row>
    <row r="241" spans="1:11">
      <c r="A241" s="8" t="str">
        <f t="shared" ref="A241:A245" si="138">"20140903"</f>
        <v>20140903</v>
      </c>
      <c r="B241" s="8" t="str">
        <f t="shared" si="135"/>
        <v>20140902</v>
      </c>
      <c r="C241" s="8" t="str">
        <f>"ETF 申购退款"</f>
        <v>ETF 申购退款</v>
      </c>
      <c r="D241" s="8" t="str">
        <f>"511990"</f>
        <v>511990</v>
      </c>
      <c r="E241" s="8" t="str">
        <f>"华宝添益"</f>
        <v>华宝添益</v>
      </c>
      <c r="F241" s="8">
        <v>0</v>
      </c>
      <c r="G241" s="8">
        <v>0</v>
      </c>
      <c r="H241" s="8">
        <v>8.3</v>
      </c>
      <c r="I241" s="11">
        <v>8.3</v>
      </c>
      <c r="J241" s="8">
        <v>16340.48</v>
      </c>
      <c r="K241" s="8">
        <v>0</v>
      </c>
    </row>
    <row r="242" spans="1:11">
      <c r="A242" s="8" t="str">
        <f t="shared" si="138"/>
        <v>20140903</v>
      </c>
      <c r="B242" s="8" t="str">
        <f t="shared" ref="B242:B245" si="139">"20140903"</f>
        <v>20140903</v>
      </c>
      <c r="C242" s="8" t="str">
        <f t="shared" si="136"/>
        <v>证券卖出</v>
      </c>
      <c r="D242" s="8" t="str">
        <f t="shared" ref="D242:D244" si="140">"000606"</f>
        <v>000606</v>
      </c>
      <c r="E242" s="8" t="str">
        <f t="shared" ref="E242:E244" si="141">"青海明胶"</f>
        <v>青海明胶</v>
      </c>
      <c r="F242" s="8">
        <v>6.9</v>
      </c>
      <c r="G242" s="8">
        <v>500</v>
      </c>
      <c r="H242" s="8">
        <v>3450</v>
      </c>
      <c r="I242" s="11">
        <v>3441.55</v>
      </c>
      <c r="J242" s="8">
        <v>19782.03</v>
      </c>
      <c r="K242" s="8">
        <v>1500</v>
      </c>
    </row>
    <row r="243" spans="1:11">
      <c r="A243" s="8" t="str">
        <f t="shared" si="138"/>
        <v>20140903</v>
      </c>
      <c r="B243" s="8" t="str">
        <f t="shared" si="139"/>
        <v>20140903</v>
      </c>
      <c r="C243" s="8" t="str">
        <f t="shared" si="136"/>
        <v>证券卖出</v>
      </c>
      <c r="D243" s="8" t="str">
        <f t="shared" si="140"/>
        <v>000606</v>
      </c>
      <c r="E243" s="8" t="str">
        <f t="shared" si="141"/>
        <v>青海明胶</v>
      </c>
      <c r="F243" s="8">
        <v>6.86</v>
      </c>
      <c r="G243" s="8">
        <v>500</v>
      </c>
      <c r="H243" s="8">
        <v>3430</v>
      </c>
      <c r="I243" s="11">
        <v>3421.57</v>
      </c>
      <c r="J243" s="8">
        <v>23203.6</v>
      </c>
      <c r="K243" s="8">
        <v>1000</v>
      </c>
    </row>
    <row r="244" spans="1:11">
      <c r="A244" s="8" t="str">
        <f t="shared" si="138"/>
        <v>20140903</v>
      </c>
      <c r="B244" s="8" t="str">
        <f t="shared" si="139"/>
        <v>20140903</v>
      </c>
      <c r="C244" s="8" t="str">
        <f t="shared" si="137"/>
        <v>证券买入</v>
      </c>
      <c r="D244" s="8" t="str">
        <f t="shared" si="140"/>
        <v>000606</v>
      </c>
      <c r="E244" s="8" t="str">
        <f t="shared" si="141"/>
        <v>青海明胶</v>
      </c>
      <c r="F244" s="8">
        <v>6.71</v>
      </c>
      <c r="G244" s="8">
        <v>500</v>
      </c>
      <c r="H244" s="8">
        <v>3355</v>
      </c>
      <c r="I244" s="11">
        <v>-3360</v>
      </c>
      <c r="J244" s="8">
        <v>19843.6</v>
      </c>
      <c r="K244" s="8">
        <v>1500</v>
      </c>
    </row>
    <row r="245" spans="1:11">
      <c r="A245" s="8" t="str">
        <f t="shared" si="138"/>
        <v>20140903</v>
      </c>
      <c r="B245" s="8" t="str">
        <f t="shared" si="139"/>
        <v>20140903</v>
      </c>
      <c r="C245" s="8" t="str">
        <f t="shared" si="137"/>
        <v>证券买入</v>
      </c>
      <c r="D245" s="8" t="str">
        <f>"601166"</f>
        <v>601166</v>
      </c>
      <c r="E245" s="8" t="str">
        <f>"兴业银行"</f>
        <v>兴业银行</v>
      </c>
      <c r="F245" s="8">
        <v>10.56</v>
      </c>
      <c r="G245" s="8">
        <v>1800</v>
      </c>
      <c r="H245" s="8">
        <v>19008</v>
      </c>
      <c r="I245" s="11">
        <v>-19018.58</v>
      </c>
      <c r="J245" s="8">
        <v>825.02</v>
      </c>
      <c r="K245" s="8">
        <v>2300</v>
      </c>
    </row>
    <row r="246" spans="1:11">
      <c r="A246" s="8" t="str">
        <f>"20140904"</f>
        <v>20140904</v>
      </c>
      <c r="B246" s="8" t="str">
        <f>"0"</f>
        <v>0</v>
      </c>
      <c r="C246" s="8" t="str">
        <f>"股息红利差异扣税"</f>
        <v>股息红利差异扣税</v>
      </c>
      <c r="D246" s="8" t="str">
        <f>"000606"</f>
        <v>000606</v>
      </c>
      <c r="E246" s="8" t="str">
        <f>"青海明胶"</f>
        <v>青海明胶</v>
      </c>
      <c r="F246" s="8">
        <v>0</v>
      </c>
      <c r="G246" s="8">
        <v>0</v>
      </c>
      <c r="H246" s="8">
        <v>0</v>
      </c>
      <c r="I246" s="11">
        <v>-0.1</v>
      </c>
      <c r="J246" s="8">
        <v>824.92</v>
      </c>
      <c r="K246" s="8">
        <v>0</v>
      </c>
    </row>
    <row r="247" spans="1:11">
      <c r="A247" s="8" t="str">
        <f>"20140904"</f>
        <v>20140904</v>
      </c>
      <c r="B247" s="8" t="str">
        <f>"20140904"</f>
        <v>20140904</v>
      </c>
      <c r="C247" s="8" t="str">
        <f t="shared" ref="C247:C253" si="142">"证券买入"</f>
        <v>证券买入</v>
      </c>
      <c r="D247" s="8" t="str">
        <f t="shared" ref="D247:D250" si="143">"150182"</f>
        <v>150182</v>
      </c>
      <c r="E247" s="8" t="str">
        <f t="shared" ref="E247:E250" si="144">"军工B"</f>
        <v>军工B</v>
      </c>
      <c r="F247" s="8">
        <v>1.964</v>
      </c>
      <c r="G247" s="8">
        <v>400</v>
      </c>
      <c r="H247" s="8">
        <v>785.6</v>
      </c>
      <c r="I247" s="11">
        <v>-790.6</v>
      </c>
      <c r="J247" s="8">
        <v>34.32</v>
      </c>
      <c r="K247" s="8">
        <v>400</v>
      </c>
    </row>
    <row r="248" spans="1:11">
      <c r="A248" s="8" t="str">
        <f>"20140905"</f>
        <v>20140905</v>
      </c>
      <c r="B248" s="8" t="str">
        <f>"20140905"</f>
        <v>20140905</v>
      </c>
      <c r="C248" s="8" t="str">
        <f t="shared" ref="C248:C251" si="145">"证券卖出"</f>
        <v>证券卖出</v>
      </c>
      <c r="D248" s="8" t="str">
        <f>"601166"</f>
        <v>601166</v>
      </c>
      <c r="E248" s="8" t="str">
        <f>"兴业银行"</f>
        <v>兴业银行</v>
      </c>
      <c r="F248" s="8">
        <v>10.59</v>
      </c>
      <c r="G248" s="8">
        <v>500</v>
      </c>
      <c r="H248" s="8">
        <v>5295</v>
      </c>
      <c r="I248" s="11">
        <v>5284.4</v>
      </c>
      <c r="J248" s="8">
        <v>5318.72</v>
      </c>
      <c r="K248" s="8">
        <v>1800</v>
      </c>
    </row>
    <row r="249" spans="1:11">
      <c r="A249" s="8" t="str">
        <f>"20140905"</f>
        <v>20140905</v>
      </c>
      <c r="B249" s="8" t="str">
        <f>"20140905"</f>
        <v>20140905</v>
      </c>
      <c r="C249" s="8" t="str">
        <f t="shared" si="142"/>
        <v>证券买入</v>
      </c>
      <c r="D249" s="8" t="str">
        <f t="shared" si="143"/>
        <v>150182</v>
      </c>
      <c r="E249" s="8" t="str">
        <f t="shared" si="144"/>
        <v>军工B</v>
      </c>
      <c r="F249" s="8">
        <v>1.897</v>
      </c>
      <c r="G249" s="8">
        <v>2700</v>
      </c>
      <c r="H249" s="8">
        <v>5121.9</v>
      </c>
      <c r="I249" s="11">
        <v>-5126.9</v>
      </c>
      <c r="J249" s="8">
        <v>191.82</v>
      </c>
      <c r="K249" s="8">
        <v>3100</v>
      </c>
    </row>
    <row r="250" spans="1:11">
      <c r="A250" s="8" t="str">
        <f>"20140915"</f>
        <v>20140915</v>
      </c>
      <c r="B250" s="8" t="str">
        <f>"20140915"</f>
        <v>20140915</v>
      </c>
      <c r="C250" s="8" t="str">
        <f t="shared" si="145"/>
        <v>证券卖出</v>
      </c>
      <c r="D250" s="8" t="str">
        <f t="shared" si="143"/>
        <v>150182</v>
      </c>
      <c r="E250" s="8" t="str">
        <f t="shared" si="144"/>
        <v>军工B</v>
      </c>
      <c r="F250" s="8">
        <v>1.97</v>
      </c>
      <c r="G250" s="8">
        <v>3100</v>
      </c>
      <c r="H250" s="8">
        <v>6107</v>
      </c>
      <c r="I250" s="11">
        <v>6102</v>
      </c>
      <c r="J250" s="8">
        <v>6293.82</v>
      </c>
      <c r="K250" s="8">
        <v>0</v>
      </c>
    </row>
    <row r="251" spans="1:11">
      <c r="A251" s="8" t="str">
        <f>"20140916"</f>
        <v>20140916</v>
      </c>
      <c r="B251" s="8" t="str">
        <f>"20140916"</f>
        <v>20140916</v>
      </c>
      <c r="C251" s="8" t="str">
        <f t="shared" si="145"/>
        <v>证券卖出</v>
      </c>
      <c r="D251" s="8" t="str">
        <f>"601166"</f>
        <v>601166</v>
      </c>
      <c r="E251" s="8" t="str">
        <f>"兴业银行"</f>
        <v>兴业银行</v>
      </c>
      <c r="F251" s="8">
        <v>10.29</v>
      </c>
      <c r="G251" s="8">
        <v>1000</v>
      </c>
      <c r="H251" s="8">
        <v>10290</v>
      </c>
      <c r="I251" s="11">
        <v>10273.96</v>
      </c>
      <c r="J251" s="8">
        <v>16567.78</v>
      </c>
      <c r="K251" s="8">
        <v>800</v>
      </c>
    </row>
    <row r="252" spans="1:11">
      <c r="A252" s="8" t="str">
        <f>"20140916"</f>
        <v>20140916</v>
      </c>
      <c r="B252" s="8" t="str">
        <f>"20140916"</f>
        <v>20140916</v>
      </c>
      <c r="C252" s="8" t="str">
        <f t="shared" si="142"/>
        <v>证券买入</v>
      </c>
      <c r="D252" s="8" t="str">
        <f t="shared" ref="D252:D254" si="146">"150182"</f>
        <v>150182</v>
      </c>
      <c r="E252" s="8" t="str">
        <f t="shared" ref="E252:E254" si="147">"军工B"</f>
        <v>军工B</v>
      </c>
      <c r="F252" s="8">
        <v>1.941</v>
      </c>
      <c r="G252" s="8">
        <v>2500</v>
      </c>
      <c r="H252" s="8">
        <v>4852.5</v>
      </c>
      <c r="I252" s="11">
        <v>-4857.5</v>
      </c>
      <c r="J252" s="8">
        <v>11710.28</v>
      </c>
      <c r="K252" s="8">
        <v>2500</v>
      </c>
    </row>
    <row r="253" spans="1:11">
      <c r="A253" s="8" t="str">
        <f t="shared" ref="A253:A256" si="148">"20140917"</f>
        <v>20140917</v>
      </c>
      <c r="B253" s="8" t="str">
        <f t="shared" ref="B253:B256" si="149">"20140917"</f>
        <v>20140917</v>
      </c>
      <c r="C253" s="8" t="str">
        <f t="shared" si="142"/>
        <v>证券买入</v>
      </c>
      <c r="D253" s="8" t="str">
        <f t="shared" si="146"/>
        <v>150182</v>
      </c>
      <c r="E253" s="8" t="str">
        <f t="shared" si="147"/>
        <v>军工B</v>
      </c>
      <c r="F253" s="8">
        <v>1.832</v>
      </c>
      <c r="G253" s="8">
        <v>2500</v>
      </c>
      <c r="H253" s="8">
        <v>4580</v>
      </c>
      <c r="I253" s="11">
        <v>-4585</v>
      </c>
      <c r="J253" s="8">
        <v>7125.28</v>
      </c>
      <c r="K253" s="8">
        <v>5000</v>
      </c>
    </row>
    <row r="254" spans="1:11">
      <c r="A254" s="8" t="str">
        <f t="shared" si="148"/>
        <v>20140917</v>
      </c>
      <c r="B254" s="8" t="str">
        <f t="shared" si="149"/>
        <v>20140917</v>
      </c>
      <c r="C254" s="8" t="str">
        <f t="shared" ref="C254:C257" si="150">"证券卖出"</f>
        <v>证券卖出</v>
      </c>
      <c r="D254" s="8" t="str">
        <f t="shared" si="146"/>
        <v>150182</v>
      </c>
      <c r="E254" s="8" t="str">
        <f t="shared" si="147"/>
        <v>军工B</v>
      </c>
      <c r="F254" s="8">
        <v>1.853</v>
      </c>
      <c r="G254" s="8">
        <v>2500</v>
      </c>
      <c r="H254" s="8">
        <v>4632.5</v>
      </c>
      <c r="I254" s="11">
        <v>4627.5</v>
      </c>
      <c r="J254" s="8">
        <v>11752.78</v>
      </c>
      <c r="K254" s="8">
        <v>2500</v>
      </c>
    </row>
    <row r="255" spans="1:11">
      <c r="A255" s="8" t="str">
        <f t="shared" si="148"/>
        <v>20140917</v>
      </c>
      <c r="B255" s="8" t="str">
        <f t="shared" si="149"/>
        <v>20140917</v>
      </c>
      <c r="C255" s="8" t="str">
        <f t="shared" si="150"/>
        <v>证券卖出</v>
      </c>
      <c r="D255" s="8" t="str">
        <f>"601607"</f>
        <v>601607</v>
      </c>
      <c r="E255" s="8" t="str">
        <f>"上海医药"</f>
        <v>上海医药</v>
      </c>
      <c r="F255" s="8">
        <v>13.94</v>
      </c>
      <c r="G255" s="8">
        <v>1000</v>
      </c>
      <c r="H255" s="8">
        <v>13940</v>
      </c>
      <c r="I255" s="11">
        <v>13918.49</v>
      </c>
      <c r="J255" s="8">
        <v>25671.27</v>
      </c>
      <c r="K255" s="8">
        <v>3500</v>
      </c>
    </row>
    <row r="256" spans="1:11">
      <c r="A256" s="8" t="str">
        <f t="shared" si="148"/>
        <v>20140917</v>
      </c>
      <c r="B256" s="8" t="str">
        <f t="shared" si="149"/>
        <v>20140917</v>
      </c>
      <c r="C256" s="8" t="str">
        <f t="shared" ref="C256:C260" si="151">"证券买入"</f>
        <v>证券买入</v>
      </c>
      <c r="D256" s="8" t="str">
        <f t="shared" ref="D256:D259" si="152">"150182"</f>
        <v>150182</v>
      </c>
      <c r="E256" s="8" t="str">
        <f t="shared" ref="E256:E259" si="153">"军工B"</f>
        <v>军工B</v>
      </c>
      <c r="F256" s="8">
        <v>1.828</v>
      </c>
      <c r="G256" s="8">
        <v>2500</v>
      </c>
      <c r="H256" s="8">
        <v>4570</v>
      </c>
      <c r="I256" s="11">
        <v>-4575</v>
      </c>
      <c r="J256" s="8">
        <v>21096.27</v>
      </c>
      <c r="K256" s="8">
        <v>5000</v>
      </c>
    </row>
    <row r="257" spans="1:11">
      <c r="A257" s="8" t="str">
        <f>"20140918"</f>
        <v>20140918</v>
      </c>
      <c r="B257" s="8" t="str">
        <f>"20140918"</f>
        <v>20140918</v>
      </c>
      <c r="C257" s="8" t="str">
        <f t="shared" si="150"/>
        <v>证券卖出</v>
      </c>
      <c r="D257" s="8" t="str">
        <f t="shared" si="152"/>
        <v>150182</v>
      </c>
      <c r="E257" s="8" t="str">
        <f t="shared" si="153"/>
        <v>军工B</v>
      </c>
      <c r="F257" s="8">
        <v>1.833</v>
      </c>
      <c r="G257" s="8">
        <v>2500</v>
      </c>
      <c r="H257" s="8">
        <v>4582.5</v>
      </c>
      <c r="I257" s="11">
        <v>4577.5</v>
      </c>
      <c r="J257" s="8">
        <v>25673.77</v>
      </c>
      <c r="K257" s="8">
        <v>2500</v>
      </c>
    </row>
    <row r="258" spans="1:11">
      <c r="A258" s="8" t="str">
        <f t="shared" ref="A258:A260" si="154">"20140919"</f>
        <v>20140919</v>
      </c>
      <c r="B258" s="8" t="str">
        <f t="shared" ref="B258:B260" si="155">"20140919"</f>
        <v>20140919</v>
      </c>
      <c r="C258" s="8" t="str">
        <f>"利息归本"</f>
        <v>利息归本</v>
      </c>
      <c r="D258" s="8"/>
      <c r="E258" s="8"/>
      <c r="F258" s="8">
        <v>0</v>
      </c>
      <c r="G258" s="8">
        <v>0</v>
      </c>
      <c r="H258" s="8">
        <v>0</v>
      </c>
      <c r="I258" s="11">
        <v>4.63</v>
      </c>
      <c r="J258" s="8">
        <v>25678.4</v>
      </c>
      <c r="K258" s="8">
        <v>0</v>
      </c>
    </row>
    <row r="259" spans="1:11">
      <c r="A259" s="8" t="str">
        <f t="shared" si="154"/>
        <v>20140919</v>
      </c>
      <c r="B259" s="8" t="str">
        <f t="shared" si="155"/>
        <v>20140919</v>
      </c>
      <c r="C259" s="8" t="str">
        <f t="shared" si="151"/>
        <v>证券买入</v>
      </c>
      <c r="D259" s="8" t="str">
        <f t="shared" si="152"/>
        <v>150182</v>
      </c>
      <c r="E259" s="8" t="str">
        <f t="shared" si="153"/>
        <v>军工B</v>
      </c>
      <c r="F259" s="8">
        <v>1.84</v>
      </c>
      <c r="G259" s="8">
        <v>2500</v>
      </c>
      <c r="H259" s="8">
        <v>4600</v>
      </c>
      <c r="I259" s="11">
        <v>-4605</v>
      </c>
      <c r="J259" s="8">
        <v>21073.4</v>
      </c>
      <c r="K259" s="8">
        <v>5000</v>
      </c>
    </row>
    <row r="260" spans="1:11">
      <c r="A260" s="8" t="str">
        <f t="shared" si="154"/>
        <v>20140919</v>
      </c>
      <c r="B260" s="8" t="str">
        <f t="shared" si="155"/>
        <v>20140919</v>
      </c>
      <c r="C260" s="8" t="str">
        <f t="shared" si="151"/>
        <v>证券买入</v>
      </c>
      <c r="D260" s="8" t="str">
        <f>"601607"</f>
        <v>601607</v>
      </c>
      <c r="E260" s="8" t="str">
        <f>"上海医药"</f>
        <v>上海医药</v>
      </c>
      <c r="F260" s="8">
        <v>14.56</v>
      </c>
      <c r="G260" s="8">
        <v>1400</v>
      </c>
      <c r="H260" s="8">
        <v>20384</v>
      </c>
      <c r="I260" s="11">
        <v>-20395.03</v>
      </c>
      <c r="J260" s="8">
        <v>678.37</v>
      </c>
      <c r="K260" s="8">
        <v>4900</v>
      </c>
    </row>
    <row r="261" spans="1:11">
      <c r="A261" s="8" t="str">
        <f>"20140922"</f>
        <v>20140922</v>
      </c>
      <c r="B261" s="8" t="str">
        <f>"20140922"</f>
        <v>20140922</v>
      </c>
      <c r="C261" s="8" t="str">
        <f>"证券卖出"</f>
        <v>证券卖出</v>
      </c>
      <c r="D261" s="8" t="str">
        <f t="shared" ref="D261:D263" si="156">"150182"</f>
        <v>150182</v>
      </c>
      <c r="E261" s="8" t="str">
        <f t="shared" ref="E261:E263" si="157">"军工B"</f>
        <v>军工B</v>
      </c>
      <c r="F261" s="8">
        <v>1.87</v>
      </c>
      <c r="G261" s="8">
        <v>2500</v>
      </c>
      <c r="H261" s="8">
        <v>4675</v>
      </c>
      <c r="I261" s="11">
        <v>4670</v>
      </c>
      <c r="J261" s="8">
        <v>5348.37</v>
      </c>
      <c r="K261" s="8">
        <v>2500</v>
      </c>
    </row>
    <row r="262" spans="1:11">
      <c r="A262" s="8" t="str">
        <f>"20140923"</f>
        <v>20140923</v>
      </c>
      <c r="B262" s="8" t="str">
        <f>"20140923"</f>
        <v>20140923</v>
      </c>
      <c r="C262" s="8" t="str">
        <f>"证券买入"</f>
        <v>证券买入</v>
      </c>
      <c r="D262" s="8" t="str">
        <f t="shared" si="156"/>
        <v>150182</v>
      </c>
      <c r="E262" s="8" t="str">
        <f t="shared" si="157"/>
        <v>军工B</v>
      </c>
      <c r="F262" s="8">
        <v>1.871</v>
      </c>
      <c r="G262" s="8">
        <v>2500</v>
      </c>
      <c r="H262" s="8">
        <v>4677.5</v>
      </c>
      <c r="I262" s="11">
        <v>-4682.5</v>
      </c>
      <c r="J262" s="8">
        <v>665.87</v>
      </c>
      <c r="K262" s="8">
        <v>5000</v>
      </c>
    </row>
    <row r="263" spans="1:11">
      <c r="A263" s="8" t="str">
        <f>"20140923"</f>
        <v>20140923</v>
      </c>
      <c r="B263" s="8" t="str">
        <f>"20140923"</f>
        <v>20140923</v>
      </c>
      <c r="C263" s="8" t="str">
        <f>"证券卖出"</f>
        <v>证券卖出</v>
      </c>
      <c r="D263" s="8" t="str">
        <f t="shared" si="156"/>
        <v>150182</v>
      </c>
      <c r="E263" s="8" t="str">
        <f t="shared" si="157"/>
        <v>军工B</v>
      </c>
      <c r="F263" s="8">
        <v>1.916</v>
      </c>
      <c r="G263" s="8">
        <v>2500</v>
      </c>
      <c r="H263" s="8">
        <v>4790</v>
      </c>
      <c r="I263" s="11">
        <v>4785</v>
      </c>
      <c r="J263" s="8">
        <v>5450.87</v>
      </c>
      <c r="K263" s="8">
        <v>2500</v>
      </c>
    </row>
    <row r="264" spans="1:11">
      <c r="A264" s="8" t="str">
        <f t="shared" ref="A264:A270" si="158">"20140924"</f>
        <v>20140924</v>
      </c>
      <c r="B264" s="8" t="str">
        <f t="shared" ref="B264:B272" si="159">"20140924"</f>
        <v>20140924</v>
      </c>
      <c r="C264" s="8" t="str">
        <f t="shared" ref="C264:C268" si="160">"股份转出"</f>
        <v>股份转出</v>
      </c>
      <c r="D264" s="8" t="str">
        <f>"601166"</f>
        <v>601166</v>
      </c>
      <c r="E264" s="8" t="str">
        <f>"兴业银行"</f>
        <v>兴业银行</v>
      </c>
      <c r="F264" s="8">
        <v>0</v>
      </c>
      <c r="G264" s="8">
        <v>800</v>
      </c>
      <c r="H264" s="8">
        <v>0</v>
      </c>
      <c r="I264" s="11">
        <v>0</v>
      </c>
      <c r="J264" s="8">
        <v>5450.87</v>
      </c>
      <c r="K264" s="8">
        <v>0</v>
      </c>
    </row>
    <row r="265" spans="1:11">
      <c r="A265" s="8" t="str">
        <f t="shared" si="158"/>
        <v>20140924</v>
      </c>
      <c r="B265" s="8" t="str">
        <f t="shared" si="159"/>
        <v>20140924</v>
      </c>
      <c r="C265" s="8" t="str">
        <f t="shared" si="160"/>
        <v>股份转出</v>
      </c>
      <c r="D265" s="8" t="str">
        <f>"601607"</f>
        <v>601607</v>
      </c>
      <c r="E265" s="8" t="str">
        <f>"上海医药"</f>
        <v>上海医药</v>
      </c>
      <c r="F265" s="8">
        <v>0</v>
      </c>
      <c r="G265" s="8">
        <v>2000</v>
      </c>
      <c r="H265" s="8">
        <v>0</v>
      </c>
      <c r="I265" s="11">
        <v>0</v>
      </c>
      <c r="J265" s="8">
        <v>5450.87</v>
      </c>
      <c r="K265" s="8">
        <v>2900</v>
      </c>
    </row>
    <row r="266" spans="1:11">
      <c r="A266" s="8" t="str">
        <f t="shared" si="158"/>
        <v>20140924</v>
      </c>
      <c r="B266" s="8" t="str">
        <f t="shared" si="159"/>
        <v>20140924</v>
      </c>
      <c r="C266" s="8" t="str">
        <f t="shared" si="160"/>
        <v>股份转出</v>
      </c>
      <c r="D266" s="8" t="str">
        <f>"601607"</f>
        <v>601607</v>
      </c>
      <c r="E266" s="8" t="str">
        <f>"上海医药"</f>
        <v>上海医药</v>
      </c>
      <c r="F266" s="8">
        <v>0</v>
      </c>
      <c r="G266" s="8">
        <v>1900</v>
      </c>
      <c r="H266" s="8">
        <v>0</v>
      </c>
      <c r="I266" s="11">
        <v>0</v>
      </c>
      <c r="J266" s="8">
        <v>5450.87</v>
      </c>
      <c r="K266" s="8">
        <v>1000</v>
      </c>
    </row>
    <row r="267" spans="1:11">
      <c r="A267" s="8" t="str">
        <f t="shared" si="158"/>
        <v>20140924</v>
      </c>
      <c r="B267" s="8" t="str">
        <f t="shared" si="159"/>
        <v>20140924</v>
      </c>
      <c r="C267" s="8" t="str">
        <f t="shared" si="160"/>
        <v>股份转出</v>
      </c>
      <c r="D267" s="8" t="str">
        <f>"150181"</f>
        <v>150181</v>
      </c>
      <c r="E267" s="8" t="str">
        <f>"军工A"</f>
        <v>军工A</v>
      </c>
      <c r="F267" s="8">
        <v>0</v>
      </c>
      <c r="G267" s="8">
        <v>23100</v>
      </c>
      <c r="H267" s="8">
        <v>0</v>
      </c>
      <c r="I267" s="11">
        <v>0</v>
      </c>
      <c r="J267" s="8">
        <v>5450.87</v>
      </c>
      <c r="K267" s="8">
        <v>0</v>
      </c>
    </row>
    <row r="268" spans="1:11">
      <c r="A268" s="8" t="str">
        <f t="shared" si="158"/>
        <v>20140924</v>
      </c>
      <c r="B268" s="8" t="str">
        <f t="shared" si="159"/>
        <v>20140924</v>
      </c>
      <c r="C268" s="8" t="str">
        <f t="shared" si="160"/>
        <v>股份转出</v>
      </c>
      <c r="D268" s="8" t="str">
        <f>"000606"</f>
        <v>000606</v>
      </c>
      <c r="E268" s="8" t="str">
        <f>"青海明胶"</f>
        <v>青海明胶</v>
      </c>
      <c r="F268" s="8">
        <v>0</v>
      </c>
      <c r="G268" s="8">
        <v>1500</v>
      </c>
      <c r="H268" s="8">
        <v>0</v>
      </c>
      <c r="I268" s="11">
        <v>0</v>
      </c>
      <c r="J268" s="8">
        <v>5450.87</v>
      </c>
      <c r="K268" s="8">
        <v>0</v>
      </c>
    </row>
    <row r="269" spans="1:11">
      <c r="A269" s="8" t="str">
        <f t="shared" si="158"/>
        <v>20140924</v>
      </c>
      <c r="B269" s="8" t="str">
        <f t="shared" si="159"/>
        <v>20140924</v>
      </c>
      <c r="C269" s="8" t="str">
        <f>"证券卖出"</f>
        <v>证券卖出</v>
      </c>
      <c r="D269" s="8" t="str">
        <f>"150182"</f>
        <v>150182</v>
      </c>
      <c r="E269" s="8" t="str">
        <f>"军工B"</f>
        <v>军工B</v>
      </c>
      <c r="F269" s="8">
        <v>1.961</v>
      </c>
      <c r="G269" s="8">
        <v>2500</v>
      </c>
      <c r="H269" s="8">
        <v>4902.5</v>
      </c>
      <c r="I269" s="11">
        <v>4897.5</v>
      </c>
      <c r="J269" s="8">
        <v>10348.37</v>
      </c>
      <c r="K269" s="8">
        <v>0</v>
      </c>
    </row>
    <row r="270" spans="1:11">
      <c r="A270" s="8" t="str">
        <f t="shared" si="158"/>
        <v>20140924</v>
      </c>
      <c r="B270" s="8" t="str">
        <f t="shared" si="159"/>
        <v>20140924</v>
      </c>
      <c r="C270" s="8" t="str">
        <f>"证券买入"</f>
        <v>证券买入</v>
      </c>
      <c r="D270" s="8" t="str">
        <f>"511990"</f>
        <v>511990</v>
      </c>
      <c r="E270" s="8" t="str">
        <f>"华宝添益"</f>
        <v>华宝添益</v>
      </c>
      <c r="F270" s="8">
        <v>99.947</v>
      </c>
      <c r="G270" s="8">
        <v>100</v>
      </c>
      <c r="H270" s="8">
        <v>9994.7</v>
      </c>
      <c r="I270" s="11">
        <v>-9994.7</v>
      </c>
      <c r="J270" s="8">
        <v>353.67</v>
      </c>
      <c r="K270" s="8">
        <v>100</v>
      </c>
    </row>
    <row r="271" spans="1:11">
      <c r="A271" s="8" t="str">
        <f>"20140925"</f>
        <v>20140925</v>
      </c>
      <c r="B271" s="8" t="str">
        <f t="shared" si="159"/>
        <v>20140924</v>
      </c>
      <c r="C271" s="8" t="str">
        <f>"ETF 基金赎回"</f>
        <v>ETF 基金赎回</v>
      </c>
      <c r="D271" s="8" t="str">
        <f>"511991"</f>
        <v>511991</v>
      </c>
      <c r="E271" s="8" t="str">
        <f>"添益申赎"</f>
        <v>添益申赎</v>
      </c>
      <c r="F271" s="8">
        <v>0</v>
      </c>
      <c r="G271" s="8">
        <v>100</v>
      </c>
      <c r="H271" s="8">
        <v>0</v>
      </c>
      <c r="I271" s="11">
        <v>0</v>
      </c>
      <c r="J271" s="8">
        <v>353.67</v>
      </c>
      <c r="K271" s="8">
        <v>0</v>
      </c>
    </row>
    <row r="272" spans="1:11">
      <c r="A272" s="8" t="str">
        <f>"20140925"</f>
        <v>20140925</v>
      </c>
      <c r="B272" s="8" t="str">
        <f t="shared" si="159"/>
        <v>20140924</v>
      </c>
      <c r="C272" s="8" t="str">
        <f>"ETF 申购退款"</f>
        <v>ETF 申购退款</v>
      </c>
      <c r="D272" s="8" t="str">
        <f>"511990"</f>
        <v>511990</v>
      </c>
      <c r="E272" s="8" t="str">
        <f>"华宝添益"</f>
        <v>华宝添益</v>
      </c>
      <c r="F272" s="8">
        <v>0</v>
      </c>
      <c r="G272" s="8">
        <v>0</v>
      </c>
      <c r="H272" s="8">
        <v>10001.04</v>
      </c>
      <c r="I272" s="11">
        <v>10001.04</v>
      </c>
      <c r="J272" s="8">
        <v>10354.71</v>
      </c>
      <c r="K272" s="8">
        <v>0</v>
      </c>
    </row>
    <row r="273" spans="1:11">
      <c r="A273" s="8" t="str">
        <f>"20140926"</f>
        <v>20140926</v>
      </c>
      <c r="B273" s="8" t="str">
        <f>"20140926"</f>
        <v>20140926</v>
      </c>
      <c r="C273" s="8" t="str">
        <f>"证券转银行"</f>
        <v>证券转银行</v>
      </c>
      <c r="D273" s="8"/>
      <c r="E273" s="8"/>
      <c r="F273" s="8">
        <v>0</v>
      </c>
      <c r="G273" s="8">
        <v>0</v>
      </c>
      <c r="H273" s="8">
        <v>0</v>
      </c>
      <c r="I273" s="11">
        <v>-10354.71</v>
      </c>
      <c r="J273" s="8">
        <v>0</v>
      </c>
      <c r="K273" s="8">
        <v>0</v>
      </c>
    </row>
    <row r="274" spans="1:11">
      <c r="A274" s="8" t="str">
        <f>"20140926"</f>
        <v>20140926</v>
      </c>
      <c r="B274" s="8" t="str">
        <f>"20140926"</f>
        <v>20140926</v>
      </c>
      <c r="C274" s="8" t="str">
        <f>"股份转出"</f>
        <v>股份转出</v>
      </c>
      <c r="D274" s="8" t="str">
        <f>"601607"</f>
        <v>601607</v>
      </c>
      <c r="E274" s="8" t="str">
        <f>"上海医药"</f>
        <v>上海医药</v>
      </c>
      <c r="F274" s="8">
        <v>0</v>
      </c>
      <c r="G274" s="8">
        <v>1000</v>
      </c>
      <c r="H274" s="8">
        <v>0</v>
      </c>
      <c r="I274" s="11">
        <v>0</v>
      </c>
      <c r="J274" s="8">
        <v>0</v>
      </c>
      <c r="K274" s="8">
        <v>0</v>
      </c>
    </row>
    <row r="275" spans="1:11">
      <c r="A275" s="8" t="str">
        <f>"20141013"</f>
        <v>20141013</v>
      </c>
      <c r="B275" s="8" t="str">
        <f>"20141013"</f>
        <v>20141013</v>
      </c>
      <c r="C275" s="8" t="str">
        <f>"股份转入"</f>
        <v>股份转入</v>
      </c>
      <c r="D275" s="8" t="str">
        <f>"161024"</f>
        <v>161024</v>
      </c>
      <c r="E275" s="8" t="str">
        <f>"富国军工"</f>
        <v>富国军工</v>
      </c>
      <c r="F275" s="8">
        <v>0</v>
      </c>
      <c r="G275" s="8">
        <v>708</v>
      </c>
      <c r="H275" s="8">
        <v>0</v>
      </c>
      <c r="I275" s="11">
        <v>0</v>
      </c>
      <c r="J275" s="8">
        <v>0</v>
      </c>
      <c r="K275" s="8">
        <v>708</v>
      </c>
    </row>
    <row r="276" spans="1:11">
      <c r="A276" s="8" t="str">
        <f t="shared" ref="A276:A278" si="161">"20141015"</f>
        <v>20141015</v>
      </c>
      <c r="B276" s="8" t="str">
        <f t="shared" ref="B276:B278" si="162">"20141015"</f>
        <v>20141015</v>
      </c>
      <c r="C276" s="8" t="str">
        <f>"开放基金拆分减股"</f>
        <v>开放基金拆分减股</v>
      </c>
      <c r="D276" s="8" t="str">
        <f>"161024"</f>
        <v>161024</v>
      </c>
      <c r="E276" s="8" t="str">
        <f>"富国军工"</f>
        <v>富国军工</v>
      </c>
      <c r="F276" s="8">
        <v>0</v>
      </c>
      <c r="G276" s="8">
        <v>708</v>
      </c>
      <c r="H276" s="8">
        <v>0</v>
      </c>
      <c r="I276" s="11">
        <v>0</v>
      </c>
      <c r="J276" s="8">
        <v>0</v>
      </c>
      <c r="K276" s="8">
        <v>0</v>
      </c>
    </row>
    <row r="277" spans="1:11">
      <c r="A277" s="8" t="str">
        <f t="shared" si="161"/>
        <v>20141015</v>
      </c>
      <c r="B277" s="8" t="str">
        <f t="shared" si="162"/>
        <v>20141015</v>
      </c>
      <c r="C277" s="8" t="str">
        <f>"开放基金拆分增股"</f>
        <v>开放基金拆分增股</v>
      </c>
      <c r="D277" s="8" t="str">
        <f>"150181"</f>
        <v>150181</v>
      </c>
      <c r="E277" s="8" t="str">
        <f>"军工A"</f>
        <v>军工A</v>
      </c>
      <c r="F277" s="8">
        <v>0</v>
      </c>
      <c r="G277" s="8">
        <v>354</v>
      </c>
      <c r="H277" s="8">
        <v>0</v>
      </c>
      <c r="I277" s="11">
        <v>0</v>
      </c>
      <c r="J277" s="8">
        <v>0</v>
      </c>
      <c r="K277" s="8">
        <v>354</v>
      </c>
    </row>
    <row r="278" spans="1:11">
      <c r="A278" s="8" t="str">
        <f t="shared" si="161"/>
        <v>20141015</v>
      </c>
      <c r="B278" s="8" t="str">
        <f t="shared" si="162"/>
        <v>20141015</v>
      </c>
      <c r="C278" s="8" t="str">
        <f>"开放基金拆分增股"</f>
        <v>开放基金拆分增股</v>
      </c>
      <c r="D278" s="8" t="str">
        <f>"150182"</f>
        <v>150182</v>
      </c>
      <c r="E278" s="8" t="str">
        <f>"军工B"</f>
        <v>军工B</v>
      </c>
      <c r="F278" s="8">
        <v>0</v>
      </c>
      <c r="G278" s="8">
        <v>354</v>
      </c>
      <c r="H278" s="8">
        <v>0</v>
      </c>
      <c r="I278" s="11">
        <v>0</v>
      </c>
      <c r="J278" s="8">
        <v>0</v>
      </c>
      <c r="K278" s="8">
        <v>354</v>
      </c>
    </row>
    <row r="279" spans="1:11">
      <c r="A279" s="8" t="str">
        <f>"20141016"</f>
        <v>20141016</v>
      </c>
      <c r="B279" s="8" t="str">
        <f>"20141016"</f>
        <v>20141016</v>
      </c>
      <c r="C279" s="8" t="str">
        <f>"股份转出"</f>
        <v>股份转出</v>
      </c>
      <c r="D279" s="8" t="str">
        <f>"150181"</f>
        <v>150181</v>
      </c>
      <c r="E279" s="8" t="str">
        <f>"军工A"</f>
        <v>军工A</v>
      </c>
      <c r="F279" s="8">
        <v>0</v>
      </c>
      <c r="G279" s="8">
        <v>354</v>
      </c>
      <c r="H279" s="8">
        <v>0</v>
      </c>
      <c r="I279" s="11">
        <v>0</v>
      </c>
      <c r="J279" s="8">
        <v>0</v>
      </c>
      <c r="K279" s="8">
        <v>0</v>
      </c>
    </row>
    <row r="280" spans="1:11">
      <c r="A280" s="8" t="str">
        <f>"20141016"</f>
        <v>20141016</v>
      </c>
      <c r="B280" s="8" t="str">
        <f>"20141016"</f>
        <v>20141016</v>
      </c>
      <c r="C280" s="8" t="str">
        <f>"证券卖出"</f>
        <v>证券卖出</v>
      </c>
      <c r="D280" s="8" t="str">
        <f>"150182"</f>
        <v>150182</v>
      </c>
      <c r="E280" s="8" t="str">
        <f>"军工B"</f>
        <v>军工B</v>
      </c>
      <c r="F280" s="8">
        <v>1.233</v>
      </c>
      <c r="G280" s="8">
        <v>354</v>
      </c>
      <c r="H280" s="8">
        <v>436.48</v>
      </c>
      <c r="I280" s="11">
        <v>431.48</v>
      </c>
      <c r="J280" s="8">
        <v>431.48</v>
      </c>
      <c r="K280" s="8">
        <v>0</v>
      </c>
    </row>
    <row r="281" spans="1:11">
      <c r="A281" s="8" t="str">
        <f>"20141110"</f>
        <v>20141110</v>
      </c>
      <c r="B281" s="8" t="str">
        <f>"20141110"</f>
        <v>20141110</v>
      </c>
      <c r="C281" s="8" t="str">
        <f>"证券转银行"</f>
        <v>证券转银行</v>
      </c>
      <c r="D281" s="8"/>
      <c r="E281" s="8"/>
      <c r="F281" s="8">
        <v>0</v>
      </c>
      <c r="G281" s="8">
        <v>0</v>
      </c>
      <c r="H281" s="8">
        <v>0</v>
      </c>
      <c r="I281" s="11">
        <v>-431.48</v>
      </c>
      <c r="J281" s="8">
        <v>0</v>
      </c>
      <c r="K281" s="8">
        <v>0</v>
      </c>
    </row>
    <row r="282" spans="1:11">
      <c r="A282" s="8" t="str">
        <f t="shared" ref="A282:A285" si="163">"20141124"</f>
        <v>20141124</v>
      </c>
      <c r="B282" s="8" t="str">
        <f t="shared" ref="B282:B286" si="164">"20141124"</f>
        <v>20141124</v>
      </c>
      <c r="C282" s="8" t="str">
        <f>"银行转证券"</f>
        <v>银行转证券</v>
      </c>
      <c r="D282" s="8"/>
      <c r="E282" s="8"/>
      <c r="F282" s="8">
        <v>0</v>
      </c>
      <c r="G282" s="8">
        <v>0</v>
      </c>
      <c r="H282" s="8">
        <v>0</v>
      </c>
      <c r="I282" s="11">
        <v>40000</v>
      </c>
      <c r="J282" s="8">
        <v>40000</v>
      </c>
      <c r="K282" s="8">
        <v>0</v>
      </c>
    </row>
    <row r="283" spans="1:11">
      <c r="A283" s="8" t="str">
        <f t="shared" si="163"/>
        <v>20141124</v>
      </c>
      <c r="B283" s="8" t="str">
        <f t="shared" si="164"/>
        <v>20141124</v>
      </c>
      <c r="C283" s="8" t="str">
        <f>"股份转入"</f>
        <v>股份转入</v>
      </c>
      <c r="D283" s="8" t="str">
        <f>"150181"</f>
        <v>150181</v>
      </c>
      <c r="E283" s="8" t="str">
        <f>"军工A"</f>
        <v>军工A</v>
      </c>
      <c r="F283" s="8">
        <v>0.88</v>
      </c>
      <c r="G283" s="8">
        <v>23454</v>
      </c>
      <c r="H283" s="8">
        <v>20639.52</v>
      </c>
      <c r="I283" s="11">
        <v>0</v>
      </c>
      <c r="J283" s="8">
        <v>40000</v>
      </c>
      <c r="K283" s="8">
        <v>23454</v>
      </c>
    </row>
    <row r="284" spans="1:11">
      <c r="A284" s="8" t="str">
        <f t="shared" si="163"/>
        <v>20141124</v>
      </c>
      <c r="B284" s="8" t="str">
        <f t="shared" si="164"/>
        <v>20141124</v>
      </c>
      <c r="C284" s="8" t="str">
        <f t="shared" ref="C284:C289" si="165">"证券买入"</f>
        <v>证券买入</v>
      </c>
      <c r="D284" s="8" t="str">
        <f t="shared" ref="D284:D290" si="166">"511990"</f>
        <v>511990</v>
      </c>
      <c r="E284" s="8" t="str">
        <f t="shared" ref="E284:E290" si="167">"华宝添益"</f>
        <v>华宝添益</v>
      </c>
      <c r="F284" s="8">
        <v>99.65</v>
      </c>
      <c r="G284" s="8">
        <v>200</v>
      </c>
      <c r="H284" s="8">
        <v>19930</v>
      </c>
      <c r="I284" s="11">
        <v>-19930</v>
      </c>
      <c r="J284" s="8">
        <v>20070</v>
      </c>
      <c r="K284" s="8">
        <v>200</v>
      </c>
    </row>
    <row r="285" spans="1:11">
      <c r="A285" s="8" t="str">
        <f t="shared" si="163"/>
        <v>20141124</v>
      </c>
      <c r="B285" s="8" t="str">
        <f t="shared" si="164"/>
        <v>20141124</v>
      </c>
      <c r="C285" s="8" t="str">
        <f t="shared" si="165"/>
        <v>证券买入</v>
      </c>
      <c r="D285" s="8" t="str">
        <f t="shared" si="166"/>
        <v>511990</v>
      </c>
      <c r="E285" s="8" t="str">
        <f t="shared" si="167"/>
        <v>华宝添益</v>
      </c>
      <c r="F285" s="8">
        <v>99.72</v>
      </c>
      <c r="G285" s="8">
        <v>200</v>
      </c>
      <c r="H285" s="8">
        <v>19944</v>
      </c>
      <c r="I285" s="11">
        <v>-19944</v>
      </c>
      <c r="J285" s="8">
        <v>126</v>
      </c>
      <c r="K285" s="8">
        <v>400</v>
      </c>
    </row>
    <row r="286" spans="1:11">
      <c r="A286" s="8" t="str">
        <f t="shared" ref="A286:A288" si="168">"20141125"</f>
        <v>20141125</v>
      </c>
      <c r="B286" s="8" t="str">
        <f t="shared" si="164"/>
        <v>20141124</v>
      </c>
      <c r="C286" s="8" t="str">
        <f>"ETF 基金赎回"</f>
        <v>ETF 基金赎回</v>
      </c>
      <c r="D286" s="8" t="str">
        <f>"511991"</f>
        <v>511991</v>
      </c>
      <c r="E286" s="8" t="str">
        <f>"添益申赎"</f>
        <v>添益申赎</v>
      </c>
      <c r="F286" s="8">
        <v>0</v>
      </c>
      <c r="G286" s="8">
        <v>400</v>
      </c>
      <c r="H286" s="8">
        <v>0</v>
      </c>
      <c r="I286" s="11">
        <v>0</v>
      </c>
      <c r="J286" s="8">
        <v>126</v>
      </c>
      <c r="K286" s="8">
        <v>0</v>
      </c>
    </row>
    <row r="287" spans="1:11">
      <c r="A287" s="8" t="str">
        <f t="shared" si="168"/>
        <v>20141125</v>
      </c>
      <c r="B287" s="8" t="str">
        <f>"20141125"</f>
        <v>20141125</v>
      </c>
      <c r="C287" s="8" t="str">
        <f>"股份转入"</f>
        <v>股份转入</v>
      </c>
      <c r="D287" s="8" t="str">
        <f t="shared" si="166"/>
        <v>511990</v>
      </c>
      <c r="E287" s="8" t="str">
        <f t="shared" si="167"/>
        <v>华宝添益</v>
      </c>
      <c r="F287" s="8">
        <v>99.839</v>
      </c>
      <c r="G287" s="8">
        <v>300</v>
      </c>
      <c r="H287" s="8">
        <v>29951.7</v>
      </c>
      <c r="I287" s="11">
        <v>0</v>
      </c>
      <c r="J287" s="8">
        <v>126</v>
      </c>
      <c r="K287" s="8">
        <v>300</v>
      </c>
    </row>
    <row r="288" spans="1:11">
      <c r="A288" s="8" t="str">
        <f t="shared" si="168"/>
        <v>20141125</v>
      </c>
      <c r="B288" s="8" t="str">
        <f>"20141124"</f>
        <v>20141124</v>
      </c>
      <c r="C288" s="8" t="str">
        <f>"ETF 申购退款"</f>
        <v>ETF 申购退款</v>
      </c>
      <c r="D288" s="8" t="str">
        <f t="shared" si="166"/>
        <v>511990</v>
      </c>
      <c r="E288" s="8" t="str">
        <f t="shared" si="167"/>
        <v>华宝添益</v>
      </c>
      <c r="F288" s="8">
        <v>0</v>
      </c>
      <c r="G288" s="8">
        <v>0</v>
      </c>
      <c r="H288" s="8">
        <v>40003.79</v>
      </c>
      <c r="I288" s="11">
        <v>40003.79</v>
      </c>
      <c r="J288" s="8">
        <v>40129.79</v>
      </c>
      <c r="K288" s="8">
        <v>0</v>
      </c>
    </row>
    <row r="289" spans="1:11">
      <c r="A289" s="8" t="str">
        <f>"20141128"</f>
        <v>20141128</v>
      </c>
      <c r="B289" s="8" t="str">
        <f>"20141128"</f>
        <v>20141128</v>
      </c>
      <c r="C289" s="8" t="str">
        <f t="shared" si="165"/>
        <v>证券买入</v>
      </c>
      <c r="D289" s="8" t="str">
        <f t="shared" si="166"/>
        <v>511990</v>
      </c>
      <c r="E289" s="8" t="str">
        <f t="shared" si="167"/>
        <v>华宝添益</v>
      </c>
      <c r="F289" s="8">
        <v>100.011</v>
      </c>
      <c r="G289" s="8">
        <v>400</v>
      </c>
      <c r="H289" s="8">
        <v>40004.4</v>
      </c>
      <c r="I289" s="11">
        <v>-40004.4</v>
      </c>
      <c r="J289" s="8">
        <v>125.39</v>
      </c>
      <c r="K289" s="8">
        <v>700</v>
      </c>
    </row>
    <row r="290" spans="1:11">
      <c r="A290" s="8" t="str">
        <f>"20141203"</f>
        <v>20141203</v>
      </c>
      <c r="B290" s="8" t="str">
        <f>"20141203"</f>
        <v>20141203</v>
      </c>
      <c r="C290" s="8" t="str">
        <f t="shared" ref="C290:C298" si="169">"证券卖出"</f>
        <v>证券卖出</v>
      </c>
      <c r="D290" s="8" t="str">
        <f t="shared" si="166"/>
        <v>511990</v>
      </c>
      <c r="E290" s="8" t="str">
        <f t="shared" si="167"/>
        <v>华宝添益</v>
      </c>
      <c r="F290" s="8">
        <v>99.981</v>
      </c>
      <c r="G290" s="8">
        <v>200</v>
      </c>
      <c r="H290" s="8">
        <v>19996.2</v>
      </c>
      <c r="I290" s="11">
        <v>19996.2</v>
      </c>
      <c r="J290" s="8">
        <v>20121.59</v>
      </c>
      <c r="K290" s="8">
        <v>500</v>
      </c>
    </row>
    <row r="291" spans="1:11">
      <c r="A291" s="8" t="str">
        <f t="shared" ref="A291:A294" si="170">"20141205"</f>
        <v>20141205</v>
      </c>
      <c r="B291" s="8" t="str">
        <f t="shared" ref="B291:B294" si="171">"20141205"</f>
        <v>20141205</v>
      </c>
      <c r="C291" s="8" t="str">
        <f t="shared" ref="C291:C294" si="172">"证券买入"</f>
        <v>证券买入</v>
      </c>
      <c r="D291" s="8" t="str">
        <f>"601607"</f>
        <v>601607</v>
      </c>
      <c r="E291" s="8" t="str">
        <f>"上海医药"</f>
        <v>上海医药</v>
      </c>
      <c r="F291" s="8">
        <v>16.39</v>
      </c>
      <c r="G291" s="8">
        <v>500</v>
      </c>
      <c r="H291" s="8">
        <v>8195</v>
      </c>
      <c r="I291" s="11">
        <v>-8200.3</v>
      </c>
      <c r="J291" s="8">
        <v>11921.29</v>
      </c>
      <c r="K291" s="8">
        <v>500</v>
      </c>
    </row>
    <row r="292" spans="1:11">
      <c r="A292" s="8" t="str">
        <f t="shared" si="170"/>
        <v>20141205</v>
      </c>
      <c r="B292" s="8" t="str">
        <f t="shared" si="171"/>
        <v>20141205</v>
      </c>
      <c r="C292" s="8" t="str">
        <f t="shared" si="172"/>
        <v>证券买入</v>
      </c>
      <c r="D292" s="8" t="str">
        <f t="shared" ref="D292:D298" si="173">"150181"</f>
        <v>150181</v>
      </c>
      <c r="E292" s="8" t="str">
        <f t="shared" ref="E292:E298" si="174">"军工A"</f>
        <v>军工A</v>
      </c>
      <c r="F292" s="8">
        <v>0.835</v>
      </c>
      <c r="G292" s="8">
        <v>14200</v>
      </c>
      <c r="H292" s="8">
        <v>11857</v>
      </c>
      <c r="I292" s="11">
        <v>-11862.93</v>
      </c>
      <c r="J292" s="8">
        <v>58.36</v>
      </c>
      <c r="K292" s="8">
        <v>37654</v>
      </c>
    </row>
    <row r="293" spans="1:11">
      <c r="A293" s="8" t="str">
        <f t="shared" si="170"/>
        <v>20141205</v>
      </c>
      <c r="B293" s="8" t="str">
        <f t="shared" si="171"/>
        <v>20141205</v>
      </c>
      <c r="C293" s="8" t="str">
        <f t="shared" si="169"/>
        <v>证券卖出</v>
      </c>
      <c r="D293" s="8" t="str">
        <f>"511990"</f>
        <v>511990</v>
      </c>
      <c r="E293" s="8" t="str">
        <f>"华宝添益"</f>
        <v>华宝添益</v>
      </c>
      <c r="F293" s="8">
        <v>100.003</v>
      </c>
      <c r="G293" s="8">
        <v>500</v>
      </c>
      <c r="H293" s="8">
        <v>50001.5</v>
      </c>
      <c r="I293" s="11">
        <v>50001.5</v>
      </c>
      <c r="J293" s="8">
        <v>50059.86</v>
      </c>
      <c r="K293" s="8">
        <v>0</v>
      </c>
    </row>
    <row r="294" spans="1:11">
      <c r="A294" s="8" t="str">
        <f t="shared" si="170"/>
        <v>20141205</v>
      </c>
      <c r="B294" s="8" t="str">
        <f t="shared" si="171"/>
        <v>20141205</v>
      </c>
      <c r="C294" s="8" t="str">
        <f t="shared" si="172"/>
        <v>证券买入</v>
      </c>
      <c r="D294" s="8" t="str">
        <f t="shared" si="173"/>
        <v>150181</v>
      </c>
      <c r="E294" s="8" t="str">
        <f t="shared" si="174"/>
        <v>军工A</v>
      </c>
      <c r="F294" s="8">
        <v>0.836</v>
      </c>
      <c r="G294" s="8">
        <v>59700</v>
      </c>
      <c r="H294" s="8">
        <v>49909.2</v>
      </c>
      <c r="I294" s="11">
        <v>-49934.15</v>
      </c>
      <c r="J294" s="8">
        <v>125.71</v>
      </c>
      <c r="K294" s="8">
        <v>97354</v>
      </c>
    </row>
    <row r="295" spans="1:11">
      <c r="A295" s="8" t="str">
        <f t="shared" ref="A295:A299" si="175">"20141208"</f>
        <v>20141208</v>
      </c>
      <c r="B295" s="8" t="str">
        <f t="shared" ref="B295:B298" si="176">"20141208"</f>
        <v>20141208</v>
      </c>
      <c r="C295" s="8" t="str">
        <f t="shared" si="169"/>
        <v>证券卖出</v>
      </c>
      <c r="D295" s="8" t="str">
        <f>"601607"</f>
        <v>601607</v>
      </c>
      <c r="E295" s="8" t="str">
        <f>"上海医药"</f>
        <v>上海医药</v>
      </c>
      <c r="F295" s="8">
        <v>15.77</v>
      </c>
      <c r="G295" s="8">
        <v>500</v>
      </c>
      <c r="H295" s="8">
        <v>7885</v>
      </c>
      <c r="I295" s="11">
        <v>7871.82</v>
      </c>
      <c r="J295" s="8">
        <v>7997.53</v>
      </c>
      <c r="K295" s="8">
        <v>0</v>
      </c>
    </row>
    <row r="296" spans="1:11">
      <c r="A296" s="8" t="str">
        <f t="shared" si="175"/>
        <v>20141208</v>
      </c>
      <c r="B296" s="8" t="str">
        <f t="shared" si="176"/>
        <v>20141208</v>
      </c>
      <c r="C296" s="8" t="str">
        <f t="shared" si="169"/>
        <v>证券卖出</v>
      </c>
      <c r="D296" s="8" t="str">
        <f t="shared" si="173"/>
        <v>150181</v>
      </c>
      <c r="E296" s="8" t="str">
        <f t="shared" si="174"/>
        <v>军工A</v>
      </c>
      <c r="F296" s="8">
        <v>0.855</v>
      </c>
      <c r="G296" s="8">
        <v>50000</v>
      </c>
      <c r="H296" s="8">
        <v>42750</v>
      </c>
      <c r="I296" s="11">
        <v>42728.62</v>
      </c>
      <c r="J296" s="8">
        <v>50726.15</v>
      </c>
      <c r="K296" s="8">
        <v>47354</v>
      </c>
    </row>
    <row r="297" spans="1:11">
      <c r="A297" s="8" t="str">
        <f t="shared" si="175"/>
        <v>20141208</v>
      </c>
      <c r="B297" s="8" t="str">
        <f t="shared" si="176"/>
        <v>20141208</v>
      </c>
      <c r="C297" s="8" t="str">
        <f t="shared" si="169"/>
        <v>证券卖出</v>
      </c>
      <c r="D297" s="8" t="str">
        <f t="shared" si="173"/>
        <v>150181</v>
      </c>
      <c r="E297" s="8" t="str">
        <f t="shared" si="174"/>
        <v>军工A</v>
      </c>
      <c r="F297" s="8">
        <v>0.855</v>
      </c>
      <c r="G297" s="8">
        <v>9700</v>
      </c>
      <c r="H297" s="8">
        <v>8293.5</v>
      </c>
      <c r="I297" s="11">
        <v>8288.5</v>
      </c>
      <c r="J297" s="8">
        <v>59014.65</v>
      </c>
      <c r="K297" s="8">
        <v>37654</v>
      </c>
    </row>
    <row r="298" spans="1:11">
      <c r="A298" s="8" t="str">
        <f t="shared" si="175"/>
        <v>20141208</v>
      </c>
      <c r="B298" s="8" t="str">
        <f t="shared" si="176"/>
        <v>20141208</v>
      </c>
      <c r="C298" s="8" t="str">
        <f t="shared" si="169"/>
        <v>证券卖出</v>
      </c>
      <c r="D298" s="8" t="str">
        <f t="shared" si="173"/>
        <v>150181</v>
      </c>
      <c r="E298" s="8" t="str">
        <f t="shared" si="174"/>
        <v>军工A</v>
      </c>
      <c r="F298" s="8">
        <v>0.845</v>
      </c>
      <c r="G298" s="8">
        <v>14200</v>
      </c>
      <c r="H298" s="8">
        <v>11999</v>
      </c>
      <c r="I298" s="11">
        <v>11993</v>
      </c>
      <c r="J298" s="8">
        <v>71007.65</v>
      </c>
      <c r="K298" s="8">
        <v>23454</v>
      </c>
    </row>
    <row r="299" spans="1:11">
      <c r="A299" s="8" t="str">
        <f t="shared" si="175"/>
        <v>20141208</v>
      </c>
      <c r="B299" s="8" t="str">
        <f>"20141205"</f>
        <v>20141205</v>
      </c>
      <c r="C299" s="8" t="str">
        <f>"ETF 申购退款"</f>
        <v>ETF 申购退款</v>
      </c>
      <c r="D299" s="8" t="str">
        <f>"511990"</f>
        <v>511990</v>
      </c>
      <c r="E299" s="8" t="str">
        <f>"华宝添益"</f>
        <v>华宝添益</v>
      </c>
      <c r="F299" s="8">
        <v>0</v>
      </c>
      <c r="G299" s="8">
        <v>0</v>
      </c>
      <c r="H299" s="8">
        <v>60.33</v>
      </c>
      <c r="I299" s="11">
        <v>60.33</v>
      </c>
      <c r="J299" s="8">
        <v>71067.98</v>
      </c>
      <c r="K299" s="8">
        <v>0</v>
      </c>
    </row>
    <row r="300" spans="1:11">
      <c r="A300" s="8" t="str">
        <f>"20141209"</f>
        <v>20141209</v>
      </c>
      <c r="B300" s="8" t="str">
        <f>"20141208"</f>
        <v>20141208</v>
      </c>
      <c r="C300" s="8" t="str">
        <f>"开放基金申购"</f>
        <v>开放基金申购</v>
      </c>
      <c r="D300" s="8" t="str">
        <f>"161024"</f>
        <v>161024</v>
      </c>
      <c r="E300" s="8" t="str">
        <f>"富国军工"</f>
        <v>富国军工</v>
      </c>
      <c r="F300" s="8">
        <v>1.094</v>
      </c>
      <c r="G300" s="8">
        <v>45161</v>
      </c>
      <c r="H300" s="8">
        <v>49406.13</v>
      </c>
      <c r="I300" s="11">
        <v>-49999.02</v>
      </c>
      <c r="J300" s="8">
        <v>21068.96</v>
      </c>
      <c r="K300" s="8">
        <v>45161</v>
      </c>
    </row>
    <row r="301" spans="1:11">
      <c r="A301" s="8" t="str">
        <f t="shared" ref="A301:A304" si="177">"20141210"</f>
        <v>20141210</v>
      </c>
      <c r="B301" s="8" t="str">
        <f t="shared" ref="B301:B304" si="178">"20141210"</f>
        <v>20141210</v>
      </c>
      <c r="C301" s="8" t="str">
        <f>"开放基金拆分减股"</f>
        <v>开放基金拆分减股</v>
      </c>
      <c r="D301" s="8" t="str">
        <f>"161024"</f>
        <v>161024</v>
      </c>
      <c r="E301" s="8" t="str">
        <f>"富国军工"</f>
        <v>富国军工</v>
      </c>
      <c r="F301" s="8">
        <v>0</v>
      </c>
      <c r="G301" s="8">
        <v>45160</v>
      </c>
      <c r="H301" s="8">
        <v>0</v>
      </c>
      <c r="I301" s="11">
        <v>0</v>
      </c>
      <c r="J301" s="8">
        <v>21068.96</v>
      </c>
      <c r="K301" s="8">
        <v>1</v>
      </c>
    </row>
    <row r="302" spans="1:11">
      <c r="A302" s="8" t="str">
        <f t="shared" si="177"/>
        <v>20141210</v>
      </c>
      <c r="B302" s="8" t="str">
        <f t="shared" si="178"/>
        <v>20141210</v>
      </c>
      <c r="C302" s="8" t="str">
        <f t="shared" ref="C302:C307" si="179">"开放基金拆分增股"</f>
        <v>开放基金拆分增股</v>
      </c>
      <c r="D302" s="8" t="str">
        <f t="shared" ref="D302:D306" si="180">"150181"</f>
        <v>150181</v>
      </c>
      <c r="E302" s="8" t="str">
        <f t="shared" ref="E302:E306" si="181">"军工A"</f>
        <v>军工A</v>
      </c>
      <c r="F302" s="8">
        <v>0.806</v>
      </c>
      <c r="G302" s="8">
        <v>22580</v>
      </c>
      <c r="H302" s="8">
        <v>0</v>
      </c>
      <c r="I302" s="11">
        <v>0</v>
      </c>
      <c r="J302" s="8">
        <v>21068.96</v>
      </c>
      <c r="K302" s="8">
        <v>46034</v>
      </c>
    </row>
    <row r="303" spans="1:11">
      <c r="A303" s="8" t="str">
        <f t="shared" si="177"/>
        <v>20141210</v>
      </c>
      <c r="B303" s="8" t="str">
        <f t="shared" si="178"/>
        <v>20141210</v>
      </c>
      <c r="C303" s="8" t="str">
        <f t="shared" si="179"/>
        <v>开放基金拆分增股</v>
      </c>
      <c r="D303" s="8" t="str">
        <f>"150182"</f>
        <v>150182</v>
      </c>
      <c r="E303" s="8" t="str">
        <f>"军工B"</f>
        <v>军工B</v>
      </c>
      <c r="F303" s="8">
        <v>1.618</v>
      </c>
      <c r="G303" s="8">
        <v>22580</v>
      </c>
      <c r="H303" s="8">
        <v>0</v>
      </c>
      <c r="I303" s="11">
        <v>0</v>
      </c>
      <c r="J303" s="8">
        <v>21068.96</v>
      </c>
      <c r="K303" s="8">
        <v>22580</v>
      </c>
    </row>
    <row r="304" spans="1:11">
      <c r="A304" s="8" t="str">
        <f t="shared" si="177"/>
        <v>20141210</v>
      </c>
      <c r="B304" s="8" t="str">
        <f t="shared" si="178"/>
        <v>20141210</v>
      </c>
      <c r="C304" s="8" t="str">
        <f>"证券买入"</f>
        <v>证券买入</v>
      </c>
      <c r="D304" s="8" t="str">
        <f t="shared" si="180"/>
        <v>150181</v>
      </c>
      <c r="E304" s="8" t="str">
        <f t="shared" si="181"/>
        <v>军工A</v>
      </c>
      <c r="F304" s="8">
        <v>0.818</v>
      </c>
      <c r="G304" s="8">
        <v>25600</v>
      </c>
      <c r="H304" s="8">
        <v>20940.8</v>
      </c>
      <c r="I304" s="11">
        <v>-20951.27</v>
      </c>
      <c r="J304" s="8">
        <v>117.69</v>
      </c>
      <c r="K304" s="8">
        <v>71634</v>
      </c>
    </row>
    <row r="305" spans="1:11">
      <c r="A305" s="8" t="str">
        <f>"20141211"</f>
        <v>20141211</v>
      </c>
      <c r="B305" s="8" t="str">
        <f>"20141211"</f>
        <v>20141211</v>
      </c>
      <c r="C305" s="8" t="str">
        <f>"证券卖出"</f>
        <v>证券卖出</v>
      </c>
      <c r="D305" s="8" t="str">
        <f>"150182"</f>
        <v>150182</v>
      </c>
      <c r="E305" s="8" t="str">
        <f>"军工B"</f>
        <v>军工B</v>
      </c>
      <c r="F305" s="8">
        <v>1.484</v>
      </c>
      <c r="G305" s="8">
        <v>22580</v>
      </c>
      <c r="H305" s="8">
        <v>33508.72</v>
      </c>
      <c r="I305" s="11">
        <v>33491.97</v>
      </c>
      <c r="J305" s="8">
        <v>33609.66</v>
      </c>
      <c r="K305" s="8">
        <v>0</v>
      </c>
    </row>
    <row r="306" spans="1:11">
      <c r="A306" s="8" t="str">
        <f>"20141211"</f>
        <v>20141211</v>
      </c>
      <c r="B306" s="8" t="str">
        <f>"20141211"</f>
        <v>20141211</v>
      </c>
      <c r="C306" s="8" t="str">
        <f>"证券买入"</f>
        <v>证券买入</v>
      </c>
      <c r="D306" s="8" t="str">
        <f t="shared" si="180"/>
        <v>150181</v>
      </c>
      <c r="E306" s="8" t="str">
        <f t="shared" si="181"/>
        <v>军工A</v>
      </c>
      <c r="F306" s="8">
        <v>0.788</v>
      </c>
      <c r="G306" s="8">
        <v>40000</v>
      </c>
      <c r="H306" s="8">
        <v>31520</v>
      </c>
      <c r="I306" s="11">
        <v>-31535.76</v>
      </c>
      <c r="J306" s="8">
        <v>2073.9</v>
      </c>
      <c r="K306" s="8">
        <v>111634</v>
      </c>
    </row>
    <row r="307" spans="1:11">
      <c r="A307" s="8" t="str">
        <f t="shared" ref="A307:A309" si="182">"20141216"</f>
        <v>20141216</v>
      </c>
      <c r="B307" s="8" t="str">
        <f t="shared" ref="B307:B309" si="183">"20141216"</f>
        <v>20141216</v>
      </c>
      <c r="C307" s="8" t="str">
        <f t="shared" si="179"/>
        <v>开放基金拆分增股</v>
      </c>
      <c r="D307" s="8" t="str">
        <f t="shared" ref="D307:D309" si="184">"161024"</f>
        <v>161024</v>
      </c>
      <c r="E307" s="8" t="str">
        <f t="shared" ref="E307:E309" si="185">"富国军工"</f>
        <v>富国军工</v>
      </c>
      <c r="F307" s="8">
        <v>0</v>
      </c>
      <c r="G307" s="8">
        <v>1120</v>
      </c>
      <c r="H307" s="8">
        <v>0</v>
      </c>
      <c r="I307" s="11">
        <v>0</v>
      </c>
      <c r="J307" s="8">
        <v>2073.9</v>
      </c>
      <c r="K307" s="8">
        <v>1121</v>
      </c>
    </row>
    <row r="308" spans="1:11">
      <c r="A308" s="8" t="str">
        <f t="shared" si="182"/>
        <v>20141216</v>
      </c>
      <c r="B308" s="8" t="str">
        <f t="shared" si="183"/>
        <v>20141216</v>
      </c>
      <c r="C308" s="8" t="str">
        <f>"开放基金合并减股"</f>
        <v>开放基金合并减股</v>
      </c>
      <c r="D308" s="8" t="str">
        <f t="shared" si="184"/>
        <v>161024</v>
      </c>
      <c r="E308" s="8" t="str">
        <f t="shared" si="185"/>
        <v>富国军工</v>
      </c>
      <c r="F308" s="8">
        <v>0</v>
      </c>
      <c r="G308" s="8">
        <v>1</v>
      </c>
      <c r="H308" s="8">
        <v>0</v>
      </c>
      <c r="I308" s="11">
        <v>0</v>
      </c>
      <c r="J308" s="8">
        <v>2073.9</v>
      </c>
      <c r="K308" s="8">
        <v>1120</v>
      </c>
    </row>
    <row r="309" spans="1:11">
      <c r="A309" s="8" t="str">
        <f t="shared" si="182"/>
        <v>20141216</v>
      </c>
      <c r="B309" s="8" t="str">
        <f t="shared" si="183"/>
        <v>20141216</v>
      </c>
      <c r="C309" s="8" t="str">
        <f>"开放基金拆分增股"</f>
        <v>开放基金拆分增股</v>
      </c>
      <c r="D309" s="8" t="str">
        <f t="shared" si="184"/>
        <v>161024</v>
      </c>
      <c r="E309" s="8" t="str">
        <f t="shared" si="185"/>
        <v>富国军工</v>
      </c>
      <c r="F309" s="8">
        <v>0</v>
      </c>
      <c r="G309" s="8">
        <v>1</v>
      </c>
      <c r="H309" s="8">
        <v>0</v>
      </c>
      <c r="I309" s="11">
        <v>0</v>
      </c>
      <c r="J309" s="8">
        <v>2073.9</v>
      </c>
      <c r="K309" s="8">
        <v>1121</v>
      </c>
    </row>
    <row r="310" spans="1:11">
      <c r="A310" s="8" t="str">
        <f>"20141219"</f>
        <v>20141219</v>
      </c>
      <c r="B310" s="8" t="str">
        <f>"20141219"</f>
        <v>20141219</v>
      </c>
      <c r="C310" s="8" t="str">
        <f>"银行转证券"</f>
        <v>银行转证券</v>
      </c>
      <c r="D310" s="8"/>
      <c r="E310" s="8"/>
      <c r="F310" s="8">
        <v>0</v>
      </c>
      <c r="G310" s="8">
        <v>0</v>
      </c>
      <c r="H310" s="8">
        <v>0</v>
      </c>
      <c r="I310" s="11">
        <v>18000</v>
      </c>
      <c r="J310" s="8">
        <v>20073.9</v>
      </c>
      <c r="K310" s="8">
        <v>0</v>
      </c>
    </row>
    <row r="311" spans="1:11">
      <c r="A311" s="8" t="str">
        <f>"20141219"</f>
        <v>20141219</v>
      </c>
      <c r="B311" s="8" t="str">
        <f>"20141219"</f>
        <v>20141219</v>
      </c>
      <c r="C311" s="8" t="str">
        <f>"证券买入"</f>
        <v>证券买入</v>
      </c>
      <c r="D311" s="8" t="str">
        <f>"511990"</f>
        <v>511990</v>
      </c>
      <c r="E311" s="8" t="str">
        <f>"华宝添益"</f>
        <v>华宝添益</v>
      </c>
      <c r="F311" s="8">
        <v>99.799</v>
      </c>
      <c r="G311" s="8">
        <v>200</v>
      </c>
      <c r="H311" s="8">
        <v>19959.8</v>
      </c>
      <c r="I311" s="11">
        <v>-19959.8</v>
      </c>
      <c r="J311" s="8">
        <v>114.1</v>
      </c>
      <c r="K311" s="8">
        <v>200</v>
      </c>
    </row>
    <row r="312" spans="1:11">
      <c r="A312" s="8" t="str">
        <f>"20141222"</f>
        <v>20141222</v>
      </c>
      <c r="B312" s="8" t="str">
        <f t="shared" ref="B312:B314" si="186">"20141222"</f>
        <v>20141222</v>
      </c>
      <c r="C312" s="8" t="str">
        <f>"利息归本"</f>
        <v>利息归本</v>
      </c>
      <c r="D312" s="8"/>
      <c r="E312" s="8"/>
      <c r="F312" s="8">
        <v>0</v>
      </c>
      <c r="G312" s="8">
        <v>0</v>
      </c>
      <c r="H312" s="8">
        <v>0</v>
      </c>
      <c r="I312" s="11">
        <v>6.2</v>
      </c>
      <c r="J312" s="8">
        <v>120.3</v>
      </c>
      <c r="K312" s="8">
        <v>0</v>
      </c>
    </row>
    <row r="313" spans="1:11">
      <c r="A313" s="8" t="str">
        <f>"20141223"</f>
        <v>20141223</v>
      </c>
      <c r="B313" s="8" t="str">
        <f t="shared" si="186"/>
        <v>20141222</v>
      </c>
      <c r="C313" s="8" t="str">
        <f>"ETF 基金赎回"</f>
        <v>ETF 基金赎回</v>
      </c>
      <c r="D313" s="8" t="str">
        <f>"511991"</f>
        <v>511991</v>
      </c>
      <c r="E313" s="8" t="str">
        <f>"添益申赎"</f>
        <v>添益申赎</v>
      </c>
      <c r="F313" s="8">
        <v>0</v>
      </c>
      <c r="G313" s="8">
        <v>200</v>
      </c>
      <c r="H313" s="8">
        <v>0</v>
      </c>
      <c r="I313" s="11">
        <v>0</v>
      </c>
      <c r="J313" s="8">
        <v>120.3</v>
      </c>
      <c r="K313" s="8">
        <v>0</v>
      </c>
    </row>
    <row r="314" spans="1:11">
      <c r="A314" s="8" t="str">
        <f>"20141223"</f>
        <v>20141223</v>
      </c>
      <c r="B314" s="8" t="str">
        <f t="shared" si="186"/>
        <v>20141222</v>
      </c>
      <c r="C314" s="8" t="str">
        <f>"ETF 申购退款"</f>
        <v>ETF 申购退款</v>
      </c>
      <c r="D314" s="8" t="str">
        <f>"511990"</f>
        <v>511990</v>
      </c>
      <c r="E314" s="8" t="str">
        <f>"华宝添益"</f>
        <v>华宝添益</v>
      </c>
      <c r="F314" s="8">
        <v>0</v>
      </c>
      <c r="G314" s="8">
        <v>0</v>
      </c>
      <c r="H314" s="8">
        <v>20007.63</v>
      </c>
      <c r="I314" s="11">
        <v>20007.63</v>
      </c>
      <c r="J314" s="8">
        <v>20127.93</v>
      </c>
      <c r="K314" s="8">
        <v>0</v>
      </c>
    </row>
    <row r="315" spans="1:11">
      <c r="A315" s="8" t="str">
        <f>"20141224"</f>
        <v>20141224</v>
      </c>
      <c r="B315" s="8" t="str">
        <f>"20141224"</f>
        <v>20141224</v>
      </c>
      <c r="C315" s="8" t="str">
        <f>"证券转银行"</f>
        <v>证券转银行</v>
      </c>
      <c r="D315" s="8"/>
      <c r="E315" s="8"/>
      <c r="F315" s="8">
        <v>0</v>
      </c>
      <c r="G315" s="8">
        <v>0</v>
      </c>
      <c r="H315" s="8">
        <v>0</v>
      </c>
      <c r="I315" s="11">
        <v>-20000</v>
      </c>
      <c r="J315" s="8">
        <v>127.93</v>
      </c>
      <c r="K315" s="8">
        <v>0</v>
      </c>
    </row>
    <row r="316" spans="1:11">
      <c r="A316" s="8" t="str">
        <f t="shared" ref="A316:A319" si="187">"20150106"</f>
        <v>20150106</v>
      </c>
      <c r="B316" s="8" t="str">
        <f t="shared" ref="B316:B319" si="188">"20150106"</f>
        <v>20150106</v>
      </c>
      <c r="C316" s="8" t="str">
        <f>"股份转出"</f>
        <v>股份转出</v>
      </c>
      <c r="D316" s="8" t="str">
        <f>"150181"</f>
        <v>150181</v>
      </c>
      <c r="E316" s="8" t="str">
        <f>"军工A"</f>
        <v>军工A</v>
      </c>
      <c r="F316" s="8">
        <v>0</v>
      </c>
      <c r="G316" s="8">
        <v>71634</v>
      </c>
      <c r="H316" s="8">
        <v>0</v>
      </c>
      <c r="I316" s="11">
        <v>0</v>
      </c>
      <c r="J316" s="8">
        <v>127.93</v>
      </c>
      <c r="K316" s="8">
        <v>40000</v>
      </c>
    </row>
    <row r="317" spans="1:11">
      <c r="A317" s="8" t="str">
        <f t="shared" si="187"/>
        <v>20150106</v>
      </c>
      <c r="B317" s="8" t="str">
        <f t="shared" si="188"/>
        <v>20150106</v>
      </c>
      <c r="C317" s="8" t="str">
        <f>"证券卖出"</f>
        <v>证券卖出</v>
      </c>
      <c r="D317" s="8" t="str">
        <f>"150181"</f>
        <v>150181</v>
      </c>
      <c r="E317" s="8" t="str">
        <f>"军工A"</f>
        <v>军工A</v>
      </c>
      <c r="F317" s="8">
        <v>0.829</v>
      </c>
      <c r="G317" s="8">
        <v>40000</v>
      </c>
      <c r="H317" s="8">
        <v>33160</v>
      </c>
      <c r="I317" s="11">
        <v>33143.42</v>
      </c>
      <c r="J317" s="8">
        <v>33271.35</v>
      </c>
      <c r="K317" s="8">
        <v>0</v>
      </c>
    </row>
    <row r="318" spans="1:11">
      <c r="A318" s="8" t="str">
        <f t="shared" si="187"/>
        <v>20150106</v>
      </c>
      <c r="B318" s="8" t="str">
        <f t="shared" si="188"/>
        <v>20150106</v>
      </c>
      <c r="C318" s="8" t="str">
        <f t="shared" ref="C318:C322" si="189">"证券买入"</f>
        <v>证券买入</v>
      </c>
      <c r="D318" s="8" t="str">
        <f>"600219"</f>
        <v>600219</v>
      </c>
      <c r="E318" s="8" t="str">
        <f>"南山铝业"</f>
        <v>南山铝业</v>
      </c>
      <c r="F318" s="8">
        <v>10.13</v>
      </c>
      <c r="G318" s="8">
        <v>1000</v>
      </c>
      <c r="H318" s="8">
        <v>10130</v>
      </c>
      <c r="I318" s="11">
        <v>-10135.67</v>
      </c>
      <c r="J318" s="8">
        <v>23135.68</v>
      </c>
      <c r="K318" s="8">
        <v>1000</v>
      </c>
    </row>
    <row r="319" spans="1:11">
      <c r="A319" s="8" t="str">
        <f t="shared" si="187"/>
        <v>20150106</v>
      </c>
      <c r="B319" s="8" t="str">
        <f t="shared" si="188"/>
        <v>20150106</v>
      </c>
      <c r="C319" s="8" t="str">
        <f t="shared" si="189"/>
        <v>证券买入</v>
      </c>
      <c r="D319" s="8" t="str">
        <f t="shared" ref="D319:D322" si="190">"511990"</f>
        <v>511990</v>
      </c>
      <c r="E319" s="8" t="str">
        <f t="shared" ref="E319:E322" si="191">"华宝添益"</f>
        <v>华宝添益</v>
      </c>
      <c r="F319" s="8">
        <v>99.993</v>
      </c>
      <c r="G319" s="8">
        <v>200</v>
      </c>
      <c r="H319" s="8">
        <v>19998.6</v>
      </c>
      <c r="I319" s="11">
        <v>-19998.6</v>
      </c>
      <c r="J319" s="8">
        <v>3137.08</v>
      </c>
      <c r="K319" s="8">
        <v>200</v>
      </c>
    </row>
    <row r="320" spans="1:11">
      <c r="A320" s="8" t="str">
        <f>"20150114"</f>
        <v>20150114</v>
      </c>
      <c r="B320" s="8" t="str">
        <f>"20150113"</f>
        <v>20150113</v>
      </c>
      <c r="C320" s="8" t="str">
        <f>"ETF 基金赎回"</f>
        <v>ETF 基金赎回</v>
      </c>
      <c r="D320" s="8" t="str">
        <f>"511991"</f>
        <v>511991</v>
      </c>
      <c r="E320" s="8" t="str">
        <f>"添益申赎"</f>
        <v>添益申赎</v>
      </c>
      <c r="F320" s="8">
        <v>0</v>
      </c>
      <c r="G320" s="8">
        <v>200</v>
      </c>
      <c r="H320" s="8">
        <v>0</v>
      </c>
      <c r="I320" s="11">
        <v>0</v>
      </c>
      <c r="J320" s="8">
        <v>3137.08</v>
      </c>
      <c r="K320" s="8">
        <v>0</v>
      </c>
    </row>
    <row r="321" spans="1:11">
      <c r="A321" s="8" t="str">
        <f>"20150114"</f>
        <v>20150114</v>
      </c>
      <c r="B321" s="8" t="str">
        <f>"20150113"</f>
        <v>20150113</v>
      </c>
      <c r="C321" s="8" t="str">
        <f>"ETF 申购退款"</f>
        <v>ETF 申购退款</v>
      </c>
      <c r="D321" s="8" t="str">
        <f t="shared" si="190"/>
        <v>511990</v>
      </c>
      <c r="E321" s="8" t="str">
        <f t="shared" si="191"/>
        <v>华宝添益</v>
      </c>
      <c r="F321" s="8">
        <v>0</v>
      </c>
      <c r="G321" s="8">
        <v>0</v>
      </c>
      <c r="H321" s="8">
        <v>20017.83</v>
      </c>
      <c r="I321" s="11">
        <v>20017.83</v>
      </c>
      <c r="J321" s="8">
        <v>23154.91</v>
      </c>
      <c r="K321" s="8">
        <v>0</v>
      </c>
    </row>
    <row r="322" spans="1:11">
      <c r="A322" s="8" t="str">
        <f>"20150202"</f>
        <v>20150202</v>
      </c>
      <c r="B322" s="8" t="str">
        <f t="shared" ref="B322:B324" si="192">"20150202"</f>
        <v>20150202</v>
      </c>
      <c r="C322" s="8" t="str">
        <f t="shared" si="189"/>
        <v>证券买入</v>
      </c>
      <c r="D322" s="8" t="str">
        <f t="shared" si="190"/>
        <v>511990</v>
      </c>
      <c r="E322" s="8" t="str">
        <f t="shared" si="191"/>
        <v>华宝添益</v>
      </c>
      <c r="F322" s="8">
        <v>99.97</v>
      </c>
      <c r="G322" s="8">
        <v>200</v>
      </c>
      <c r="H322" s="8">
        <v>19994</v>
      </c>
      <c r="I322" s="11">
        <v>-19994</v>
      </c>
      <c r="J322" s="8">
        <v>3160.91</v>
      </c>
      <c r="K322" s="8">
        <v>200</v>
      </c>
    </row>
    <row r="323" spans="1:11">
      <c r="A323" s="8" t="str">
        <f>"20150203"</f>
        <v>20150203</v>
      </c>
      <c r="B323" s="8" t="str">
        <f t="shared" si="192"/>
        <v>20150202</v>
      </c>
      <c r="C323" s="8" t="str">
        <f>"ETF 基金赎回"</f>
        <v>ETF 基金赎回</v>
      </c>
      <c r="D323" s="8" t="str">
        <f>"511991"</f>
        <v>511991</v>
      </c>
      <c r="E323" s="8" t="str">
        <f>"添益申赎"</f>
        <v>添益申赎</v>
      </c>
      <c r="F323" s="8">
        <v>0</v>
      </c>
      <c r="G323" s="8">
        <v>200</v>
      </c>
      <c r="H323" s="8">
        <v>0</v>
      </c>
      <c r="I323" s="11">
        <v>0</v>
      </c>
      <c r="J323" s="8">
        <v>3160.91</v>
      </c>
      <c r="K323" s="8">
        <v>0</v>
      </c>
    </row>
    <row r="324" spans="1:11">
      <c r="A324" s="8" t="str">
        <f>"20150203"</f>
        <v>20150203</v>
      </c>
      <c r="B324" s="8" t="str">
        <f t="shared" si="192"/>
        <v>20150202</v>
      </c>
      <c r="C324" s="8" t="str">
        <f>"ETF 申购退款"</f>
        <v>ETF 申购退款</v>
      </c>
      <c r="D324" s="8" t="str">
        <f t="shared" ref="D324:D329" si="193">"511990"</f>
        <v>511990</v>
      </c>
      <c r="E324" s="8" t="str">
        <f t="shared" ref="E324:E329" si="194">"华宝添益"</f>
        <v>华宝添益</v>
      </c>
      <c r="F324" s="8">
        <v>0</v>
      </c>
      <c r="G324" s="8">
        <v>0</v>
      </c>
      <c r="H324" s="8">
        <v>20002.16</v>
      </c>
      <c r="I324" s="11">
        <v>20002.16</v>
      </c>
      <c r="J324" s="8">
        <v>23163.07</v>
      </c>
      <c r="K324" s="8">
        <v>0</v>
      </c>
    </row>
    <row r="325" spans="1:11">
      <c r="A325" s="8" t="str">
        <f>"20150205"</f>
        <v>20150205</v>
      </c>
      <c r="B325" s="8" t="str">
        <f>"20150205"</f>
        <v>20150205</v>
      </c>
      <c r="C325" s="8" t="str">
        <f>"证券买入"</f>
        <v>证券买入</v>
      </c>
      <c r="D325" s="8" t="str">
        <f>"601179"</f>
        <v>601179</v>
      </c>
      <c r="E325" s="8" t="str">
        <f>"中国西电"</f>
        <v>中国西电</v>
      </c>
      <c r="F325" s="8">
        <v>6.46</v>
      </c>
      <c r="G325" s="8">
        <v>500</v>
      </c>
      <c r="H325" s="8">
        <v>3230</v>
      </c>
      <c r="I325" s="11">
        <v>-3235.3</v>
      </c>
      <c r="J325" s="8">
        <v>19927.77</v>
      </c>
      <c r="K325" s="8">
        <v>500</v>
      </c>
    </row>
    <row r="326" spans="1:11">
      <c r="A326" s="8" t="str">
        <f>"20150209"</f>
        <v>20150209</v>
      </c>
      <c r="B326" s="8" t="str">
        <f t="shared" ref="B326:B329" si="195">"20150209"</f>
        <v>20150209</v>
      </c>
      <c r="C326" s="8" t="str">
        <f>"银行转证券"</f>
        <v>银行转证券</v>
      </c>
      <c r="D326" s="8"/>
      <c r="E326" s="8"/>
      <c r="F326" s="8">
        <v>0</v>
      </c>
      <c r="G326" s="8">
        <v>0</v>
      </c>
      <c r="H326" s="8">
        <v>0</v>
      </c>
      <c r="I326" s="11">
        <v>100</v>
      </c>
      <c r="J326" s="8">
        <v>20027.77</v>
      </c>
      <c r="K326" s="8">
        <v>0</v>
      </c>
    </row>
    <row r="327" spans="1:11">
      <c r="A327" s="8" t="str">
        <f>"20150209"</f>
        <v>20150209</v>
      </c>
      <c r="B327" s="8" t="str">
        <f t="shared" si="195"/>
        <v>20150209</v>
      </c>
      <c r="C327" s="8" t="str">
        <f>"证券买入"</f>
        <v>证券买入</v>
      </c>
      <c r="D327" s="8" t="str">
        <f t="shared" si="193"/>
        <v>511990</v>
      </c>
      <c r="E327" s="8" t="str">
        <f t="shared" si="194"/>
        <v>华宝添益</v>
      </c>
      <c r="F327" s="8">
        <v>99.965</v>
      </c>
      <c r="G327" s="8">
        <v>200</v>
      </c>
      <c r="H327" s="8">
        <v>19993</v>
      </c>
      <c r="I327" s="11">
        <v>-19993</v>
      </c>
      <c r="J327" s="8">
        <v>34.77</v>
      </c>
      <c r="K327" s="8">
        <v>200</v>
      </c>
    </row>
    <row r="328" spans="1:11">
      <c r="A328" s="8" t="str">
        <f>"20150210"</f>
        <v>20150210</v>
      </c>
      <c r="B328" s="8" t="str">
        <f t="shared" si="195"/>
        <v>20150209</v>
      </c>
      <c r="C328" s="8" t="str">
        <f>"ETF 基金赎回"</f>
        <v>ETF 基金赎回</v>
      </c>
      <c r="D328" s="8" t="str">
        <f>"511991"</f>
        <v>511991</v>
      </c>
      <c r="E328" s="8" t="str">
        <f>"添益申赎"</f>
        <v>添益申赎</v>
      </c>
      <c r="F328" s="8">
        <v>0</v>
      </c>
      <c r="G328" s="8">
        <v>200</v>
      </c>
      <c r="H328" s="8">
        <v>0</v>
      </c>
      <c r="I328" s="11">
        <v>0</v>
      </c>
      <c r="J328" s="8">
        <v>34.77</v>
      </c>
      <c r="K328" s="8">
        <v>0</v>
      </c>
    </row>
    <row r="329" spans="1:11">
      <c r="A329" s="8" t="str">
        <f>"20150210"</f>
        <v>20150210</v>
      </c>
      <c r="B329" s="8" t="str">
        <f t="shared" si="195"/>
        <v>20150209</v>
      </c>
      <c r="C329" s="8" t="str">
        <f>"ETF 申购退款"</f>
        <v>ETF 申购退款</v>
      </c>
      <c r="D329" s="8" t="str">
        <f t="shared" si="193"/>
        <v>511990</v>
      </c>
      <c r="E329" s="8" t="str">
        <f t="shared" si="194"/>
        <v>华宝添益</v>
      </c>
      <c r="F329" s="8">
        <v>0</v>
      </c>
      <c r="G329" s="8">
        <v>0</v>
      </c>
      <c r="H329" s="8">
        <v>20002.18</v>
      </c>
      <c r="I329" s="11">
        <v>20002.18</v>
      </c>
      <c r="J329" s="8">
        <v>20036.95</v>
      </c>
      <c r="K329" s="8">
        <v>0</v>
      </c>
    </row>
    <row r="330" spans="1:11">
      <c r="A330" s="8" t="str">
        <f>"20150211"</f>
        <v>20150211</v>
      </c>
      <c r="B330" s="8" t="str">
        <f>"20150211"</f>
        <v>20150211</v>
      </c>
      <c r="C330" s="8" t="str">
        <f>"证券转银行"</f>
        <v>证券转银行</v>
      </c>
      <c r="D330" s="8"/>
      <c r="E330" s="8"/>
      <c r="F330" s="8">
        <v>0</v>
      </c>
      <c r="G330" s="8">
        <v>0</v>
      </c>
      <c r="H330" s="8">
        <v>0</v>
      </c>
      <c r="I330" s="11">
        <v>-8100</v>
      </c>
      <c r="J330" s="8">
        <v>11936.95</v>
      </c>
      <c r="K330" s="8">
        <v>0</v>
      </c>
    </row>
    <row r="331" spans="1:11">
      <c r="A331" s="8" t="str">
        <f>"20150212"</f>
        <v>20150212</v>
      </c>
      <c r="B331" s="8" t="str">
        <f>"20150212"</f>
        <v>20150212</v>
      </c>
      <c r="C331" s="8" t="str">
        <f>"证券买入"</f>
        <v>证券买入</v>
      </c>
      <c r="D331" s="8" t="str">
        <f t="shared" ref="D331:D335" si="196">"601607"</f>
        <v>601607</v>
      </c>
      <c r="E331" s="8" t="str">
        <f t="shared" ref="E331:E335" si="197">"上海医药"</f>
        <v>上海医药</v>
      </c>
      <c r="F331" s="8">
        <v>17.19</v>
      </c>
      <c r="G331" s="8">
        <v>500</v>
      </c>
      <c r="H331" s="8">
        <v>8595</v>
      </c>
      <c r="I331" s="11">
        <v>-8600.3</v>
      </c>
      <c r="J331" s="8">
        <v>3336.65</v>
      </c>
      <c r="K331" s="8">
        <v>500</v>
      </c>
    </row>
    <row r="332" spans="1:11">
      <c r="A332" s="8" t="str">
        <f t="shared" ref="A332:A334" si="198">"20150226"</f>
        <v>20150226</v>
      </c>
      <c r="B332" s="8" t="str">
        <f t="shared" ref="B332:B334" si="199">"20150226"</f>
        <v>20150226</v>
      </c>
      <c r="C332" s="8" t="str">
        <f t="shared" ref="C332:C335" si="200">"证券卖出"</f>
        <v>证券卖出</v>
      </c>
      <c r="D332" s="8" t="str">
        <f t="shared" si="196"/>
        <v>601607</v>
      </c>
      <c r="E332" s="8" t="str">
        <f t="shared" si="197"/>
        <v>上海医药</v>
      </c>
      <c r="F332" s="8">
        <v>18.01</v>
      </c>
      <c r="G332" s="8">
        <v>500</v>
      </c>
      <c r="H332" s="8">
        <v>9005</v>
      </c>
      <c r="I332" s="11">
        <v>8990.69</v>
      </c>
      <c r="J332" s="8">
        <v>12327.34</v>
      </c>
      <c r="K332" s="8">
        <v>0</v>
      </c>
    </row>
    <row r="333" spans="1:11">
      <c r="A333" s="8" t="str">
        <f t="shared" si="198"/>
        <v>20150226</v>
      </c>
      <c r="B333" s="8" t="str">
        <f t="shared" si="199"/>
        <v>20150226</v>
      </c>
      <c r="C333" s="8" t="str">
        <f t="shared" si="200"/>
        <v>证券卖出</v>
      </c>
      <c r="D333" s="8" t="str">
        <f>"601179"</f>
        <v>601179</v>
      </c>
      <c r="E333" s="8" t="str">
        <f>"中国西电"</f>
        <v>中国西电</v>
      </c>
      <c r="F333" s="8">
        <v>6.51</v>
      </c>
      <c r="G333" s="8">
        <v>500</v>
      </c>
      <c r="H333" s="8">
        <v>3255</v>
      </c>
      <c r="I333" s="11">
        <v>3246.44</v>
      </c>
      <c r="J333" s="8">
        <v>15573.78</v>
      </c>
      <c r="K333" s="8">
        <v>0</v>
      </c>
    </row>
    <row r="334" spans="1:11">
      <c r="A334" s="8" t="str">
        <f t="shared" si="198"/>
        <v>20150226</v>
      </c>
      <c r="B334" s="8" t="str">
        <f t="shared" si="199"/>
        <v>20150226</v>
      </c>
      <c r="C334" s="8" t="str">
        <f t="shared" ref="C334:C338" si="201">"证券买入"</f>
        <v>证券买入</v>
      </c>
      <c r="D334" s="8" t="str">
        <f t="shared" si="196"/>
        <v>601607</v>
      </c>
      <c r="E334" s="8" t="str">
        <f t="shared" si="197"/>
        <v>上海医药</v>
      </c>
      <c r="F334" s="8">
        <v>17.92</v>
      </c>
      <c r="G334" s="8">
        <v>500</v>
      </c>
      <c r="H334" s="8">
        <v>8960</v>
      </c>
      <c r="I334" s="11">
        <v>-8965.3</v>
      </c>
      <c r="J334" s="8">
        <v>6608.48</v>
      </c>
      <c r="K334" s="8">
        <v>500</v>
      </c>
    </row>
    <row r="335" spans="1:11">
      <c r="A335" s="8" t="str">
        <f>"20150306"</f>
        <v>20150306</v>
      </c>
      <c r="B335" s="8" t="str">
        <f>"20150306"</f>
        <v>20150306</v>
      </c>
      <c r="C335" s="8" t="str">
        <f t="shared" si="200"/>
        <v>证券卖出</v>
      </c>
      <c r="D335" s="8" t="str">
        <f t="shared" si="196"/>
        <v>601607</v>
      </c>
      <c r="E335" s="8" t="str">
        <f t="shared" si="197"/>
        <v>上海医药</v>
      </c>
      <c r="F335" s="8">
        <v>18.88</v>
      </c>
      <c r="G335" s="8">
        <v>500</v>
      </c>
      <c r="H335" s="8">
        <v>9440</v>
      </c>
      <c r="I335" s="11">
        <v>9425.26</v>
      </c>
      <c r="J335" s="8">
        <v>16033.74</v>
      </c>
      <c r="K335" s="8">
        <v>0</v>
      </c>
    </row>
    <row r="336" spans="1:11">
      <c r="A336" s="8" t="str">
        <f>"20150320"</f>
        <v>20150320</v>
      </c>
      <c r="B336" s="8" t="str">
        <f>"20150320"</f>
        <v>20150320</v>
      </c>
      <c r="C336" s="8" t="str">
        <f>"利息归本"</f>
        <v>利息归本</v>
      </c>
      <c r="D336" s="8"/>
      <c r="E336" s="8"/>
      <c r="F336" s="8">
        <v>0</v>
      </c>
      <c r="G336" s="8">
        <v>0</v>
      </c>
      <c r="H336" s="8">
        <v>0</v>
      </c>
      <c r="I336" s="11">
        <v>9.52</v>
      </c>
      <c r="J336" s="8">
        <v>16043.26</v>
      </c>
      <c r="K336" s="8">
        <v>0</v>
      </c>
    </row>
    <row r="337" spans="1:11">
      <c r="A337" s="8" t="str">
        <f>"20150401"</f>
        <v>20150401</v>
      </c>
      <c r="B337" s="8" t="str">
        <f>"20150401"</f>
        <v>20150401</v>
      </c>
      <c r="C337" s="8" t="str">
        <f t="shared" si="201"/>
        <v>证券买入</v>
      </c>
      <c r="D337" s="8" t="str">
        <f>"600219"</f>
        <v>600219</v>
      </c>
      <c r="E337" s="8" t="str">
        <f>"南山铝业"</f>
        <v>南山铝业</v>
      </c>
      <c r="F337" s="8">
        <v>10.81</v>
      </c>
      <c r="G337" s="8">
        <v>1000</v>
      </c>
      <c r="H337" s="8">
        <v>10810</v>
      </c>
      <c r="I337" s="11">
        <v>-10816.01</v>
      </c>
      <c r="J337" s="8">
        <v>5227.25</v>
      </c>
      <c r="K337" s="8">
        <v>2000</v>
      </c>
    </row>
    <row r="338" spans="1:11">
      <c r="A338" s="8" t="str">
        <f>"20150403"</f>
        <v>20150403</v>
      </c>
      <c r="B338" s="8" t="str">
        <f>"20150403"</f>
        <v>20150403</v>
      </c>
      <c r="C338" s="8" t="str">
        <f t="shared" si="201"/>
        <v>证券买入</v>
      </c>
      <c r="D338" s="8" t="str">
        <f>"600219"</f>
        <v>600219</v>
      </c>
      <c r="E338" s="8" t="str">
        <f>"南山铝业"</f>
        <v>南山铝业</v>
      </c>
      <c r="F338" s="8">
        <v>11.29</v>
      </c>
      <c r="G338" s="8">
        <v>400</v>
      </c>
      <c r="H338" s="8">
        <v>4516</v>
      </c>
      <c r="I338" s="11">
        <v>-4521.24</v>
      </c>
      <c r="J338" s="8">
        <v>706.01</v>
      </c>
      <c r="K338" s="8">
        <v>2400</v>
      </c>
    </row>
    <row r="339" spans="1:11">
      <c r="A339" s="8" t="str">
        <f>"20150428"</f>
        <v>20150428</v>
      </c>
      <c r="B339" s="8" t="str">
        <f>"20150428"</f>
        <v>20150428</v>
      </c>
      <c r="C339" s="8" t="str">
        <f>"开放基金合并减股"</f>
        <v>开放基金合并减股</v>
      </c>
      <c r="D339" s="8" t="str">
        <f t="shared" ref="D339:D341" si="202">"161024"</f>
        <v>161024</v>
      </c>
      <c r="E339" s="8" t="str">
        <f t="shared" ref="E339:E341" si="203">"军工分级"</f>
        <v>军工分级</v>
      </c>
      <c r="F339" s="8">
        <v>0</v>
      </c>
      <c r="G339" s="8">
        <v>1121</v>
      </c>
      <c r="H339" s="8">
        <v>0</v>
      </c>
      <c r="I339" s="11">
        <v>0</v>
      </c>
      <c r="J339" s="8">
        <v>706.01</v>
      </c>
      <c r="K339" s="8">
        <v>0</v>
      </c>
    </row>
    <row r="340" spans="1:11">
      <c r="A340" s="8" t="str">
        <f>"20150428"</f>
        <v>20150428</v>
      </c>
      <c r="B340" s="8" t="str">
        <f>"20150428"</f>
        <v>20150428</v>
      </c>
      <c r="C340" s="8" t="str">
        <f>"开放基金拆分增股"</f>
        <v>开放基金拆分增股</v>
      </c>
      <c r="D340" s="8" t="str">
        <f t="shared" si="202"/>
        <v>161024</v>
      </c>
      <c r="E340" s="8" t="str">
        <f t="shared" si="203"/>
        <v>军工分级</v>
      </c>
      <c r="F340" s="8">
        <v>0</v>
      </c>
      <c r="G340" s="8">
        <v>1737</v>
      </c>
      <c r="H340" s="8">
        <v>0</v>
      </c>
      <c r="I340" s="11">
        <v>0</v>
      </c>
      <c r="J340" s="8">
        <v>706.01</v>
      </c>
      <c r="K340" s="8">
        <v>1737</v>
      </c>
    </row>
    <row r="341" spans="1:11">
      <c r="A341" s="8" t="str">
        <f>"20150430"</f>
        <v>20150430</v>
      </c>
      <c r="B341" s="8" t="str">
        <f>"20150430"</f>
        <v>20150430</v>
      </c>
      <c r="C341" s="8" t="str">
        <f>"股份转入"</f>
        <v>股份转入</v>
      </c>
      <c r="D341" s="8" t="str">
        <f t="shared" si="202"/>
        <v>161024</v>
      </c>
      <c r="E341" s="8" t="str">
        <f t="shared" si="203"/>
        <v>军工分级</v>
      </c>
      <c r="F341" s="8">
        <v>0.986</v>
      </c>
      <c r="G341" s="8">
        <v>1482</v>
      </c>
      <c r="H341" s="8">
        <v>1461.25</v>
      </c>
      <c r="I341" s="11">
        <v>0</v>
      </c>
      <c r="J341" s="8">
        <v>706.01</v>
      </c>
      <c r="K341" s="8">
        <v>3219</v>
      </c>
    </row>
    <row r="342" spans="1:11">
      <c r="A342" s="8" t="str">
        <f>"20150602"</f>
        <v>20150602</v>
      </c>
      <c r="B342" s="8" t="str">
        <f>"20150602"</f>
        <v>20150602</v>
      </c>
      <c r="C342" s="8" t="str">
        <f>"银行转证券"</f>
        <v>银行转证券</v>
      </c>
      <c r="D342" s="8"/>
      <c r="E342" s="8"/>
      <c r="F342" s="8">
        <v>0</v>
      </c>
      <c r="G342" s="8">
        <v>0</v>
      </c>
      <c r="H342" s="8">
        <v>0</v>
      </c>
      <c r="I342" s="11">
        <v>41000</v>
      </c>
      <c r="J342" s="8">
        <v>41706.01</v>
      </c>
      <c r="K342" s="8">
        <v>0</v>
      </c>
    </row>
    <row r="343" spans="1:11">
      <c r="A343" s="8" t="str">
        <f>"20150602"</f>
        <v>20150602</v>
      </c>
      <c r="B343" s="8" t="str">
        <f>"20150602"</f>
        <v>20150602</v>
      </c>
      <c r="C343" s="8" t="str">
        <f>"证券买入"</f>
        <v>证券买入</v>
      </c>
      <c r="D343" s="8" t="str">
        <f>"150181"</f>
        <v>150181</v>
      </c>
      <c r="E343" s="8" t="str">
        <f>"军工A"</f>
        <v>军工A</v>
      </c>
      <c r="F343" s="8">
        <v>0.793</v>
      </c>
      <c r="G343" s="8">
        <v>52400</v>
      </c>
      <c r="H343" s="8">
        <v>41553.2</v>
      </c>
      <c r="I343" s="11">
        <v>-41573.98</v>
      </c>
      <c r="J343" s="8">
        <v>132.03</v>
      </c>
      <c r="K343" s="8">
        <v>52400</v>
      </c>
    </row>
    <row r="344" spans="1:11">
      <c r="A344" s="8" t="str">
        <f>"20150609"</f>
        <v>20150609</v>
      </c>
      <c r="B344" s="8" t="str">
        <f>"20150609"</f>
        <v>20150609</v>
      </c>
      <c r="C344" s="8" t="str">
        <f>"红利入账"</f>
        <v>红利入账</v>
      </c>
      <c r="D344" s="8" t="str">
        <f>"600219"</f>
        <v>600219</v>
      </c>
      <c r="E344" s="8" t="str">
        <f>"南山铝业"</f>
        <v>南山铝业</v>
      </c>
      <c r="F344" s="8">
        <v>0</v>
      </c>
      <c r="G344" s="8">
        <v>2400</v>
      </c>
      <c r="H344" s="8">
        <v>228</v>
      </c>
      <c r="I344" s="11">
        <v>228</v>
      </c>
      <c r="J344" s="8">
        <v>360.03</v>
      </c>
      <c r="K344" s="8">
        <v>0</v>
      </c>
    </row>
    <row r="345" spans="1:11">
      <c r="A345" s="8" t="str">
        <f>"20150619"</f>
        <v>20150619</v>
      </c>
      <c r="B345" s="8" t="str">
        <f>"20150619"</f>
        <v>20150619</v>
      </c>
      <c r="C345" s="8" t="str">
        <f>"利息归本"</f>
        <v>利息归本</v>
      </c>
      <c r="D345" s="8"/>
      <c r="E345" s="8"/>
      <c r="F345" s="8">
        <v>0</v>
      </c>
      <c r="G345" s="8">
        <v>0</v>
      </c>
      <c r="H345" s="8">
        <v>0</v>
      </c>
      <c r="I345" s="11">
        <v>2.95</v>
      </c>
      <c r="J345" s="8">
        <v>362.98</v>
      </c>
      <c r="K345" s="8">
        <v>0</v>
      </c>
    </row>
    <row r="346" spans="1:11">
      <c r="A346" s="8" t="str">
        <f>"20150703"</f>
        <v>20150703</v>
      </c>
      <c r="B346" s="8" t="str">
        <f>"20150703"</f>
        <v>20150703</v>
      </c>
      <c r="C346" s="8" t="str">
        <f>"银行转证券"</f>
        <v>银行转证券</v>
      </c>
      <c r="D346" s="8"/>
      <c r="E346" s="8"/>
      <c r="F346" s="8">
        <v>0</v>
      </c>
      <c r="G346" s="8">
        <v>0</v>
      </c>
      <c r="H346" s="8">
        <v>0</v>
      </c>
      <c r="I346" s="11">
        <v>30000</v>
      </c>
      <c r="J346" s="8">
        <v>30362.98</v>
      </c>
      <c r="K346" s="8">
        <v>0</v>
      </c>
    </row>
    <row r="347" spans="1:11">
      <c r="A347" s="8" t="str">
        <f>"20150703"</f>
        <v>20150703</v>
      </c>
      <c r="B347" s="8" t="str">
        <f>"20150703"</f>
        <v>20150703</v>
      </c>
      <c r="C347" s="8" t="str">
        <f t="shared" ref="C347:C353" si="204">"证券买入"</f>
        <v>证券买入</v>
      </c>
      <c r="D347" s="8" t="str">
        <f t="shared" ref="D347:D351" si="205">"150181"</f>
        <v>150181</v>
      </c>
      <c r="E347" s="8" t="str">
        <f t="shared" ref="E347:E351" si="206">"军工A"</f>
        <v>军工A</v>
      </c>
      <c r="F347" s="8">
        <v>0.753</v>
      </c>
      <c r="G347" s="8">
        <v>39900</v>
      </c>
      <c r="H347" s="8">
        <v>30044.7</v>
      </c>
      <c r="I347" s="11">
        <v>-30054.01</v>
      </c>
      <c r="J347" s="8">
        <v>308.97</v>
      </c>
      <c r="K347" s="8">
        <v>92300</v>
      </c>
    </row>
    <row r="348" spans="1:11">
      <c r="A348" s="8" t="str">
        <f t="shared" ref="A348:A350" si="207">"20150706"</f>
        <v>20150706</v>
      </c>
      <c r="B348" s="8" t="str">
        <f t="shared" ref="B348:B350" si="208">"20150706"</f>
        <v>20150706</v>
      </c>
      <c r="C348" s="8" t="str">
        <f>"银行转证券"</f>
        <v>银行转证券</v>
      </c>
      <c r="D348" s="8"/>
      <c r="E348" s="8"/>
      <c r="F348" s="8">
        <v>0</v>
      </c>
      <c r="G348" s="8">
        <v>0</v>
      </c>
      <c r="H348" s="8">
        <v>0</v>
      </c>
      <c r="I348" s="11">
        <v>53000</v>
      </c>
      <c r="J348" s="8">
        <v>53308.97</v>
      </c>
      <c r="K348" s="8">
        <v>0</v>
      </c>
    </row>
    <row r="349" spans="1:11">
      <c r="A349" s="8" t="str">
        <f t="shared" si="207"/>
        <v>20150706</v>
      </c>
      <c r="B349" s="8" t="str">
        <f t="shared" si="208"/>
        <v>20150706</v>
      </c>
      <c r="C349" s="8" t="str">
        <f t="shared" si="204"/>
        <v>证券买入</v>
      </c>
      <c r="D349" s="8" t="str">
        <f t="shared" ref="D349:D353" si="209">"510300"</f>
        <v>510300</v>
      </c>
      <c r="E349" s="8" t="str">
        <f t="shared" ref="E349:E353" si="210">"300ETF"</f>
        <v>300ETF</v>
      </c>
      <c r="F349" s="8">
        <v>4.006</v>
      </c>
      <c r="G349" s="8">
        <v>5000</v>
      </c>
      <c r="H349" s="8">
        <v>20030</v>
      </c>
      <c r="I349" s="11">
        <v>-20036.21</v>
      </c>
      <c r="J349" s="8">
        <v>33272.76</v>
      </c>
      <c r="K349" s="8">
        <v>5000</v>
      </c>
    </row>
    <row r="350" spans="1:11">
      <c r="A350" s="8" t="str">
        <f t="shared" si="207"/>
        <v>20150706</v>
      </c>
      <c r="B350" s="8" t="str">
        <f t="shared" si="208"/>
        <v>20150706</v>
      </c>
      <c r="C350" s="8" t="str">
        <f>"证券卖出"</f>
        <v>证券卖出</v>
      </c>
      <c r="D350" s="8" t="str">
        <f t="shared" si="205"/>
        <v>150181</v>
      </c>
      <c r="E350" s="8" t="str">
        <f t="shared" si="206"/>
        <v>军工A</v>
      </c>
      <c r="F350" s="8">
        <v>0.796</v>
      </c>
      <c r="G350" s="8">
        <v>39900</v>
      </c>
      <c r="H350" s="8">
        <v>31760.4</v>
      </c>
      <c r="I350" s="11">
        <v>31750.55</v>
      </c>
      <c r="J350" s="8">
        <v>65023.31</v>
      </c>
      <c r="K350" s="8">
        <v>52400</v>
      </c>
    </row>
    <row r="351" spans="1:11">
      <c r="A351" s="8" t="str">
        <f t="shared" ref="A351:A354" si="211">"20150707"</f>
        <v>20150707</v>
      </c>
      <c r="B351" s="8" t="str">
        <f t="shared" ref="B351:B354" si="212">"20150707"</f>
        <v>20150707</v>
      </c>
      <c r="C351" s="8" t="str">
        <f t="shared" si="204"/>
        <v>证券买入</v>
      </c>
      <c r="D351" s="8" t="str">
        <f t="shared" si="205"/>
        <v>150181</v>
      </c>
      <c r="E351" s="8" t="str">
        <f t="shared" si="206"/>
        <v>军工A</v>
      </c>
      <c r="F351" s="8">
        <v>0.787</v>
      </c>
      <c r="G351" s="8">
        <v>39900</v>
      </c>
      <c r="H351" s="8">
        <v>31401.3</v>
      </c>
      <c r="I351" s="11">
        <v>-31411.03</v>
      </c>
      <c r="J351" s="8">
        <v>33612.28</v>
      </c>
      <c r="K351" s="8">
        <v>92300</v>
      </c>
    </row>
    <row r="352" spans="1:11">
      <c r="A352" s="8" t="str">
        <f t="shared" si="211"/>
        <v>20150707</v>
      </c>
      <c r="B352" s="8" t="str">
        <f t="shared" si="212"/>
        <v>20150707</v>
      </c>
      <c r="C352" s="8" t="str">
        <f t="shared" si="204"/>
        <v>证券买入</v>
      </c>
      <c r="D352" s="8" t="str">
        <f t="shared" si="209"/>
        <v>510300</v>
      </c>
      <c r="E352" s="8" t="str">
        <f t="shared" si="210"/>
        <v>300ETF</v>
      </c>
      <c r="F352" s="8">
        <v>3.899</v>
      </c>
      <c r="G352" s="8">
        <v>2000</v>
      </c>
      <c r="H352" s="8">
        <v>7798</v>
      </c>
      <c r="I352" s="11">
        <v>-7803</v>
      </c>
      <c r="J352" s="8">
        <v>25809.28</v>
      </c>
      <c r="K352" s="8">
        <v>7000</v>
      </c>
    </row>
    <row r="353" spans="1:11">
      <c r="A353" s="8" t="str">
        <f t="shared" si="211"/>
        <v>20150707</v>
      </c>
      <c r="B353" s="8" t="str">
        <f t="shared" si="212"/>
        <v>20150707</v>
      </c>
      <c r="C353" s="8" t="str">
        <f t="shared" si="204"/>
        <v>证券买入</v>
      </c>
      <c r="D353" s="8" t="str">
        <f t="shared" si="209"/>
        <v>510300</v>
      </c>
      <c r="E353" s="8" t="str">
        <f t="shared" si="210"/>
        <v>300ETF</v>
      </c>
      <c r="F353" s="8">
        <v>3.815</v>
      </c>
      <c r="G353" s="8">
        <v>2000</v>
      </c>
      <c r="H353" s="8">
        <v>7630</v>
      </c>
      <c r="I353" s="11">
        <v>-7635</v>
      </c>
      <c r="J353" s="8">
        <v>18174.28</v>
      </c>
      <c r="K353" s="8">
        <v>9000</v>
      </c>
    </row>
    <row r="354" spans="1:11">
      <c r="A354" s="8" t="str">
        <f t="shared" si="211"/>
        <v>20150707</v>
      </c>
      <c r="B354" s="8" t="str">
        <f t="shared" si="212"/>
        <v>20150707</v>
      </c>
      <c r="C354" s="8" t="str">
        <f t="shared" ref="C354:C363" si="213">"证券卖出"</f>
        <v>证券卖出</v>
      </c>
      <c r="D354" s="8" t="str">
        <f t="shared" ref="D354:D356" si="214">"150181"</f>
        <v>150181</v>
      </c>
      <c r="E354" s="8" t="str">
        <f t="shared" ref="E354:E356" si="215">"军工A"</f>
        <v>军工A</v>
      </c>
      <c r="F354" s="8">
        <v>0.829</v>
      </c>
      <c r="G354" s="8">
        <v>39900</v>
      </c>
      <c r="H354" s="8">
        <v>33077.1</v>
      </c>
      <c r="I354" s="11">
        <v>33066.85</v>
      </c>
      <c r="J354" s="8">
        <v>51241.13</v>
      </c>
      <c r="K354" s="8">
        <v>52400</v>
      </c>
    </row>
    <row r="355" spans="1:11">
      <c r="A355" s="8" t="str">
        <f t="shared" ref="A355:A358" si="216">"20150708"</f>
        <v>20150708</v>
      </c>
      <c r="B355" s="8" t="str">
        <f t="shared" ref="B355:B358" si="217">"20150708"</f>
        <v>20150708</v>
      </c>
      <c r="C355" s="8" t="str">
        <f t="shared" ref="C355:C357" si="218">"证券买入"</f>
        <v>证券买入</v>
      </c>
      <c r="D355" s="8" t="str">
        <f t="shared" si="214"/>
        <v>150181</v>
      </c>
      <c r="E355" s="8" t="str">
        <f t="shared" si="215"/>
        <v>军工A</v>
      </c>
      <c r="F355" s="8">
        <v>0.8</v>
      </c>
      <c r="G355" s="8">
        <v>40000</v>
      </c>
      <c r="H355" s="8">
        <v>32000</v>
      </c>
      <c r="I355" s="11">
        <v>-32009.92</v>
      </c>
      <c r="J355" s="8">
        <v>19231.21</v>
      </c>
      <c r="K355" s="8">
        <v>92400</v>
      </c>
    </row>
    <row r="356" spans="1:11">
      <c r="A356" s="8" t="str">
        <f t="shared" si="216"/>
        <v>20150708</v>
      </c>
      <c r="B356" s="8" t="str">
        <f t="shared" si="217"/>
        <v>20150708</v>
      </c>
      <c r="C356" s="8" t="str">
        <f t="shared" si="218"/>
        <v>证券买入</v>
      </c>
      <c r="D356" s="8" t="str">
        <f t="shared" si="214"/>
        <v>150181</v>
      </c>
      <c r="E356" s="8" t="str">
        <f t="shared" si="215"/>
        <v>军工A</v>
      </c>
      <c r="F356" s="8">
        <v>0.747</v>
      </c>
      <c r="G356" s="8">
        <v>10000</v>
      </c>
      <c r="H356" s="8">
        <v>7470</v>
      </c>
      <c r="I356" s="11">
        <v>-7475</v>
      </c>
      <c r="J356" s="8">
        <v>11756.21</v>
      </c>
      <c r="K356" s="8">
        <v>102400</v>
      </c>
    </row>
    <row r="357" spans="1:11">
      <c r="A357" s="8" t="str">
        <f t="shared" si="216"/>
        <v>20150708</v>
      </c>
      <c r="B357" s="8" t="str">
        <f t="shared" si="217"/>
        <v>20150708</v>
      </c>
      <c r="C357" s="8" t="str">
        <f t="shared" si="218"/>
        <v>证券买入</v>
      </c>
      <c r="D357" s="8" t="str">
        <f t="shared" ref="D357:D361" si="219">"510300"</f>
        <v>510300</v>
      </c>
      <c r="E357" s="8" t="str">
        <f t="shared" ref="E357:E361" si="220">"300ETF"</f>
        <v>300ETF</v>
      </c>
      <c r="F357" s="8">
        <v>3.511</v>
      </c>
      <c r="G357" s="8">
        <v>2000</v>
      </c>
      <c r="H357" s="8">
        <v>7022</v>
      </c>
      <c r="I357" s="11">
        <v>-7027</v>
      </c>
      <c r="J357" s="8">
        <v>4729.21</v>
      </c>
      <c r="K357" s="8">
        <v>11000</v>
      </c>
    </row>
    <row r="358" spans="1:11">
      <c r="A358" s="8" t="str">
        <f t="shared" si="216"/>
        <v>20150708</v>
      </c>
      <c r="B358" s="8" t="str">
        <f t="shared" si="217"/>
        <v>20150708</v>
      </c>
      <c r="C358" s="8" t="str">
        <f t="shared" si="213"/>
        <v>证券卖出</v>
      </c>
      <c r="D358" s="8" t="str">
        <f t="shared" si="219"/>
        <v>510300</v>
      </c>
      <c r="E358" s="8" t="str">
        <f t="shared" si="220"/>
        <v>300ETF</v>
      </c>
      <c r="F358" s="8">
        <v>3.62</v>
      </c>
      <c r="G358" s="8">
        <v>2000</v>
      </c>
      <c r="H358" s="8">
        <v>7240</v>
      </c>
      <c r="I358" s="11">
        <v>7235</v>
      </c>
      <c r="J358" s="8">
        <v>11964.21</v>
      </c>
      <c r="K358" s="8">
        <v>9000</v>
      </c>
    </row>
    <row r="359" spans="1:11">
      <c r="A359" s="8" t="str">
        <f>"20150709"</f>
        <v>20150709</v>
      </c>
      <c r="B359" s="8" t="str">
        <f>"20150709"</f>
        <v>20150709</v>
      </c>
      <c r="C359" s="8" t="str">
        <f t="shared" si="213"/>
        <v>证券卖出</v>
      </c>
      <c r="D359" s="8" t="str">
        <f t="shared" ref="D359:D363" si="221">"150181"</f>
        <v>150181</v>
      </c>
      <c r="E359" s="8" t="str">
        <f t="shared" ref="E359:E363" si="222">"军工A"</f>
        <v>军工A</v>
      </c>
      <c r="F359" s="8">
        <v>0.801</v>
      </c>
      <c r="G359" s="8">
        <v>10000</v>
      </c>
      <c r="H359" s="8">
        <v>8010</v>
      </c>
      <c r="I359" s="11">
        <v>8005</v>
      </c>
      <c r="J359" s="8">
        <v>19969.21</v>
      </c>
      <c r="K359" s="8">
        <v>92400</v>
      </c>
    </row>
    <row r="360" spans="1:11">
      <c r="A360" s="8" t="str">
        <f>"20150710"</f>
        <v>20150710</v>
      </c>
      <c r="B360" s="8" t="str">
        <f>"20150710"</f>
        <v>20150710</v>
      </c>
      <c r="C360" s="8" t="str">
        <f t="shared" si="213"/>
        <v>证券卖出</v>
      </c>
      <c r="D360" s="8" t="str">
        <f t="shared" si="219"/>
        <v>510300</v>
      </c>
      <c r="E360" s="8" t="str">
        <f t="shared" si="220"/>
        <v>300ETF</v>
      </c>
      <c r="F360" s="8">
        <v>4.08</v>
      </c>
      <c r="G360" s="8">
        <v>2000</v>
      </c>
      <c r="H360" s="8">
        <v>8160</v>
      </c>
      <c r="I360" s="11">
        <v>8155</v>
      </c>
      <c r="J360" s="8">
        <v>28124.21</v>
      </c>
      <c r="K360" s="8">
        <v>7000</v>
      </c>
    </row>
    <row r="361" spans="1:11">
      <c r="A361" s="8" t="str">
        <f>"20150713"</f>
        <v>20150713</v>
      </c>
      <c r="B361" s="8" t="str">
        <f>"20150713"</f>
        <v>20150713</v>
      </c>
      <c r="C361" s="8" t="str">
        <f t="shared" si="213"/>
        <v>证券卖出</v>
      </c>
      <c r="D361" s="8" t="str">
        <f t="shared" si="219"/>
        <v>510300</v>
      </c>
      <c r="E361" s="8" t="str">
        <f t="shared" si="220"/>
        <v>300ETF</v>
      </c>
      <c r="F361" s="8">
        <v>4.116</v>
      </c>
      <c r="G361" s="8">
        <v>7000</v>
      </c>
      <c r="H361" s="8">
        <v>28812</v>
      </c>
      <c r="I361" s="11">
        <v>28803.07</v>
      </c>
      <c r="J361" s="8">
        <v>56927.28</v>
      </c>
      <c r="K361" s="8">
        <v>0</v>
      </c>
    </row>
    <row r="362" spans="1:11">
      <c r="A362" s="8" t="str">
        <f t="shared" ref="A362:A364" si="223">"20150717"</f>
        <v>20150717</v>
      </c>
      <c r="B362" s="8" t="str">
        <f t="shared" ref="B362:B364" si="224">"20150717"</f>
        <v>20150717</v>
      </c>
      <c r="C362" s="8" t="str">
        <f t="shared" si="213"/>
        <v>证券卖出</v>
      </c>
      <c r="D362" s="8" t="str">
        <f t="shared" si="221"/>
        <v>150181</v>
      </c>
      <c r="E362" s="8" t="str">
        <f t="shared" si="222"/>
        <v>军工A</v>
      </c>
      <c r="F362" s="8">
        <v>0.874</v>
      </c>
      <c r="G362" s="8">
        <v>60000</v>
      </c>
      <c r="H362" s="8">
        <v>52440</v>
      </c>
      <c r="I362" s="11">
        <v>52423.74</v>
      </c>
      <c r="J362" s="8">
        <v>109351.02</v>
      </c>
      <c r="K362" s="8">
        <v>32400</v>
      </c>
    </row>
    <row r="363" spans="1:11">
      <c r="A363" s="8" t="str">
        <f t="shared" si="223"/>
        <v>20150717</v>
      </c>
      <c r="B363" s="8" t="str">
        <f t="shared" si="224"/>
        <v>20150717</v>
      </c>
      <c r="C363" s="8" t="str">
        <f t="shared" si="213"/>
        <v>证券卖出</v>
      </c>
      <c r="D363" s="8" t="str">
        <f t="shared" si="221"/>
        <v>150181</v>
      </c>
      <c r="E363" s="8" t="str">
        <f t="shared" si="222"/>
        <v>军工A</v>
      </c>
      <c r="F363" s="8">
        <v>0.875</v>
      </c>
      <c r="G363" s="8">
        <v>32400</v>
      </c>
      <c r="H363" s="8">
        <v>28350</v>
      </c>
      <c r="I363" s="11">
        <v>28341.21</v>
      </c>
      <c r="J363" s="8">
        <v>137692.23</v>
      </c>
      <c r="K363" s="8">
        <v>0</v>
      </c>
    </row>
    <row r="364" spans="1:11">
      <c r="A364" s="8" t="str">
        <f t="shared" si="223"/>
        <v>20150717</v>
      </c>
      <c r="B364" s="8" t="str">
        <f t="shared" si="224"/>
        <v>20150717</v>
      </c>
      <c r="C364" s="8" t="str">
        <f t="shared" ref="C364:C368" si="225">"证券买入"</f>
        <v>证券买入</v>
      </c>
      <c r="D364" s="8" t="str">
        <f t="shared" ref="D364:D375" si="226">"600219"</f>
        <v>600219</v>
      </c>
      <c r="E364" s="8" t="str">
        <f t="shared" ref="E364:E375" si="227">"南山铝业"</f>
        <v>南山铝业</v>
      </c>
      <c r="F364" s="8">
        <v>8.49</v>
      </c>
      <c r="G364" s="8">
        <v>2000</v>
      </c>
      <c r="H364" s="8">
        <v>16980</v>
      </c>
      <c r="I364" s="11">
        <v>-16986.46</v>
      </c>
      <c r="J364" s="8">
        <v>120705.77</v>
      </c>
      <c r="K364" s="8">
        <v>4400</v>
      </c>
    </row>
    <row r="365" spans="1:11">
      <c r="A365" s="8" t="str">
        <f>"20150720"</f>
        <v>20150720</v>
      </c>
      <c r="B365" s="8" t="str">
        <f>"20150720"</f>
        <v>20150720</v>
      </c>
      <c r="C365" s="8" t="str">
        <f t="shared" ref="C365:C370" si="228">"证券卖出"</f>
        <v>证券卖出</v>
      </c>
      <c r="D365" s="8" t="str">
        <f t="shared" si="226"/>
        <v>600219</v>
      </c>
      <c r="E365" s="8" t="str">
        <f t="shared" si="227"/>
        <v>南山铝业</v>
      </c>
      <c r="F365" s="8">
        <v>8.7</v>
      </c>
      <c r="G365" s="8">
        <v>2000</v>
      </c>
      <c r="H365" s="8">
        <v>17400</v>
      </c>
      <c r="I365" s="11">
        <v>17376.01</v>
      </c>
      <c r="J365" s="8">
        <v>138081.78</v>
      </c>
      <c r="K365" s="8">
        <v>2400</v>
      </c>
    </row>
    <row r="366" spans="1:11">
      <c r="A366" s="8" t="str">
        <f>"20150720"</f>
        <v>20150720</v>
      </c>
      <c r="B366" s="8" t="str">
        <f>"20150720"</f>
        <v>20150720</v>
      </c>
      <c r="C366" s="8" t="str">
        <f t="shared" si="225"/>
        <v>证券买入</v>
      </c>
      <c r="D366" s="8" t="str">
        <f t="shared" si="226"/>
        <v>600219</v>
      </c>
      <c r="E366" s="8" t="str">
        <f t="shared" si="227"/>
        <v>南山铝业</v>
      </c>
      <c r="F366" s="8">
        <v>8.6</v>
      </c>
      <c r="G366" s="8">
        <v>2000</v>
      </c>
      <c r="H366" s="8">
        <v>17200</v>
      </c>
      <c r="I366" s="11">
        <v>-17206.53</v>
      </c>
      <c r="J366" s="8">
        <v>120875.25</v>
      </c>
      <c r="K366" s="8">
        <v>4400</v>
      </c>
    </row>
    <row r="367" spans="1:11">
      <c r="A367" s="8" t="str">
        <f t="shared" ref="A367:A369" si="229">"20150721"</f>
        <v>20150721</v>
      </c>
      <c r="B367" s="8" t="str">
        <f t="shared" ref="B367:B369" si="230">"20150721"</f>
        <v>20150721</v>
      </c>
      <c r="C367" s="8" t="str">
        <f t="shared" si="225"/>
        <v>证券买入</v>
      </c>
      <c r="D367" s="8" t="str">
        <f t="shared" si="226"/>
        <v>600219</v>
      </c>
      <c r="E367" s="8" t="str">
        <f t="shared" si="227"/>
        <v>南山铝业</v>
      </c>
      <c r="F367" s="8">
        <v>8.31</v>
      </c>
      <c r="G367" s="8">
        <v>2000</v>
      </c>
      <c r="H367" s="8">
        <v>16620</v>
      </c>
      <c r="I367" s="11">
        <v>-16626.35</v>
      </c>
      <c r="J367" s="8">
        <v>104248.9</v>
      </c>
      <c r="K367" s="8">
        <v>6400</v>
      </c>
    </row>
    <row r="368" spans="1:11">
      <c r="A368" s="8" t="str">
        <f t="shared" si="229"/>
        <v>20150721</v>
      </c>
      <c r="B368" s="8" t="str">
        <f t="shared" si="230"/>
        <v>20150721</v>
      </c>
      <c r="C368" s="8" t="str">
        <f t="shared" si="225"/>
        <v>证券买入</v>
      </c>
      <c r="D368" s="8" t="str">
        <f t="shared" si="226"/>
        <v>600219</v>
      </c>
      <c r="E368" s="8" t="str">
        <f t="shared" si="227"/>
        <v>南山铝业</v>
      </c>
      <c r="F368" s="8">
        <v>8.36</v>
      </c>
      <c r="G368" s="8">
        <v>4000</v>
      </c>
      <c r="H368" s="8">
        <v>33440</v>
      </c>
      <c r="I368" s="11">
        <v>-33452.77</v>
      </c>
      <c r="J368" s="8">
        <v>70796.13</v>
      </c>
      <c r="K368" s="8">
        <v>10400</v>
      </c>
    </row>
    <row r="369" spans="1:11">
      <c r="A369" s="8" t="str">
        <f t="shared" si="229"/>
        <v>20150721</v>
      </c>
      <c r="B369" s="8" t="str">
        <f t="shared" si="230"/>
        <v>20150721</v>
      </c>
      <c r="C369" s="8" t="str">
        <f t="shared" si="228"/>
        <v>证券卖出</v>
      </c>
      <c r="D369" s="8" t="str">
        <f t="shared" si="226"/>
        <v>600219</v>
      </c>
      <c r="E369" s="8" t="str">
        <f t="shared" si="227"/>
        <v>南山铝业</v>
      </c>
      <c r="F369" s="8">
        <v>8.6</v>
      </c>
      <c r="G369" s="8">
        <v>2000</v>
      </c>
      <c r="H369" s="8">
        <v>17200</v>
      </c>
      <c r="I369" s="11">
        <v>17176.27</v>
      </c>
      <c r="J369" s="8">
        <v>87972.4</v>
      </c>
      <c r="K369" s="8">
        <v>8400</v>
      </c>
    </row>
    <row r="370" spans="1:11">
      <c r="A370" s="8" t="str">
        <f t="shared" ref="A370:A372" si="231">"20150722"</f>
        <v>20150722</v>
      </c>
      <c r="B370" s="8" t="str">
        <f t="shared" ref="B370:B372" si="232">"20150722"</f>
        <v>20150722</v>
      </c>
      <c r="C370" s="8" t="str">
        <f t="shared" si="228"/>
        <v>证券卖出</v>
      </c>
      <c r="D370" s="8" t="str">
        <f t="shared" si="226"/>
        <v>600219</v>
      </c>
      <c r="E370" s="8" t="str">
        <f t="shared" si="227"/>
        <v>南山铝业</v>
      </c>
      <c r="F370" s="8">
        <v>8.49</v>
      </c>
      <c r="G370" s="8">
        <v>4000</v>
      </c>
      <c r="H370" s="8">
        <v>33960</v>
      </c>
      <c r="I370" s="11">
        <v>33913.11</v>
      </c>
      <c r="J370" s="8">
        <v>121885.51</v>
      </c>
      <c r="K370" s="8">
        <v>4400</v>
      </c>
    </row>
    <row r="371" spans="1:11">
      <c r="A371" s="8" t="str">
        <f t="shared" si="231"/>
        <v>20150722</v>
      </c>
      <c r="B371" s="8" t="str">
        <f t="shared" si="232"/>
        <v>20150722</v>
      </c>
      <c r="C371" s="8" t="str">
        <f>"证券买入"</f>
        <v>证券买入</v>
      </c>
      <c r="D371" s="8" t="str">
        <f t="shared" si="226"/>
        <v>600219</v>
      </c>
      <c r="E371" s="8" t="str">
        <f t="shared" si="227"/>
        <v>南山铝业</v>
      </c>
      <c r="F371" s="8">
        <v>8.34</v>
      </c>
      <c r="G371" s="8">
        <v>2000</v>
      </c>
      <c r="H371" s="8">
        <v>16680</v>
      </c>
      <c r="I371" s="11">
        <v>-16686.37</v>
      </c>
      <c r="J371" s="8">
        <v>105199.14</v>
      </c>
      <c r="K371" s="8">
        <v>6400</v>
      </c>
    </row>
    <row r="372" spans="1:11">
      <c r="A372" s="8" t="str">
        <f t="shared" si="231"/>
        <v>20150722</v>
      </c>
      <c r="B372" s="8" t="str">
        <f t="shared" si="232"/>
        <v>20150722</v>
      </c>
      <c r="C372" s="8" t="str">
        <f>"证券卖出"</f>
        <v>证券卖出</v>
      </c>
      <c r="D372" s="8" t="str">
        <f t="shared" si="226"/>
        <v>600219</v>
      </c>
      <c r="E372" s="8" t="str">
        <f t="shared" si="227"/>
        <v>南山铝业</v>
      </c>
      <c r="F372" s="8">
        <v>8.234</v>
      </c>
      <c r="G372" s="8">
        <v>4400</v>
      </c>
      <c r="H372" s="8">
        <v>36229.5</v>
      </c>
      <c r="I372" s="11">
        <v>36179.4</v>
      </c>
      <c r="J372" s="8">
        <v>141378.54</v>
      </c>
      <c r="K372" s="8">
        <v>2000</v>
      </c>
    </row>
    <row r="373" spans="1:11">
      <c r="A373" s="8" t="str">
        <f t="shared" ref="A373:A379" si="233">"20150723"</f>
        <v>20150723</v>
      </c>
      <c r="B373" s="8" t="str">
        <f t="shared" ref="B373:B375" si="234">"0"</f>
        <v>0</v>
      </c>
      <c r="C373" s="8" t="str">
        <f t="shared" ref="C373:C375" si="235">"股息红利差异扣税"</f>
        <v>股息红利差异扣税</v>
      </c>
      <c r="D373" s="8" t="str">
        <f t="shared" si="226"/>
        <v>600219</v>
      </c>
      <c r="E373" s="8" t="str">
        <f t="shared" si="227"/>
        <v>南山铝业</v>
      </c>
      <c r="F373" s="8">
        <v>0</v>
      </c>
      <c r="G373" s="8">
        <v>0</v>
      </c>
      <c r="H373" s="8">
        <v>0</v>
      </c>
      <c r="I373" s="11">
        <v>-5</v>
      </c>
      <c r="J373" s="8">
        <v>141373.54</v>
      </c>
      <c r="K373" s="8">
        <v>0</v>
      </c>
    </row>
    <row r="374" spans="1:11">
      <c r="A374" s="8" t="str">
        <f t="shared" si="233"/>
        <v>20150723</v>
      </c>
      <c r="B374" s="8" t="str">
        <f t="shared" si="234"/>
        <v>0</v>
      </c>
      <c r="C374" s="8" t="str">
        <f t="shared" si="235"/>
        <v>股息红利差异扣税</v>
      </c>
      <c r="D374" s="8" t="str">
        <f t="shared" si="226"/>
        <v>600219</v>
      </c>
      <c r="E374" s="8" t="str">
        <f t="shared" si="227"/>
        <v>南山铝业</v>
      </c>
      <c r="F374" s="8">
        <v>0</v>
      </c>
      <c r="G374" s="8">
        <v>0</v>
      </c>
      <c r="H374" s="8">
        <v>0</v>
      </c>
      <c r="I374" s="11">
        <v>-5</v>
      </c>
      <c r="J374" s="8">
        <v>141368.54</v>
      </c>
      <c r="K374" s="8">
        <v>0</v>
      </c>
    </row>
    <row r="375" spans="1:11">
      <c r="A375" s="8" t="str">
        <f t="shared" si="233"/>
        <v>20150723</v>
      </c>
      <c r="B375" s="8" t="str">
        <f t="shared" si="234"/>
        <v>0</v>
      </c>
      <c r="C375" s="8" t="str">
        <f t="shared" si="235"/>
        <v>股息红利差异扣税</v>
      </c>
      <c r="D375" s="8" t="str">
        <f t="shared" si="226"/>
        <v>600219</v>
      </c>
      <c r="E375" s="8" t="str">
        <f t="shared" si="227"/>
        <v>南山铝业</v>
      </c>
      <c r="F375" s="8">
        <v>0</v>
      </c>
      <c r="G375" s="8">
        <v>0</v>
      </c>
      <c r="H375" s="8">
        <v>0</v>
      </c>
      <c r="I375" s="11">
        <v>-2</v>
      </c>
      <c r="J375" s="8">
        <v>141366.54</v>
      </c>
      <c r="K375" s="8">
        <v>0</v>
      </c>
    </row>
    <row r="376" spans="1:11">
      <c r="A376" s="8" t="str">
        <f t="shared" si="233"/>
        <v>20150723</v>
      </c>
      <c r="B376" s="8" t="str">
        <f t="shared" ref="B376:B379" si="236">"20150723"</f>
        <v>20150723</v>
      </c>
      <c r="C376" s="8" t="str">
        <f t="shared" ref="C376:C379" si="237">"证券买入"</f>
        <v>证券买入</v>
      </c>
      <c r="D376" s="8" t="str">
        <f>"150181"</f>
        <v>150181</v>
      </c>
      <c r="E376" s="8" t="str">
        <f>"军工A"</f>
        <v>军工A</v>
      </c>
      <c r="F376" s="8">
        <v>0.816</v>
      </c>
      <c r="G376" s="8">
        <v>30000</v>
      </c>
      <c r="H376" s="8">
        <v>24480</v>
      </c>
      <c r="I376" s="11">
        <v>-24487.59</v>
      </c>
      <c r="J376" s="8">
        <v>116878.95</v>
      </c>
      <c r="K376" s="8">
        <v>30000</v>
      </c>
    </row>
    <row r="377" spans="1:11">
      <c r="A377" s="8" t="str">
        <f t="shared" si="233"/>
        <v>20150723</v>
      </c>
      <c r="B377" s="8" t="str">
        <f t="shared" si="236"/>
        <v>20150723</v>
      </c>
      <c r="C377" s="8" t="str">
        <f t="shared" si="237"/>
        <v>证券买入</v>
      </c>
      <c r="D377" s="8" t="str">
        <f>"150175"</f>
        <v>150175</v>
      </c>
      <c r="E377" s="8" t="str">
        <f>"H股A"</f>
        <v>H股A</v>
      </c>
      <c r="F377" s="8">
        <v>0.861</v>
      </c>
      <c r="G377" s="8">
        <v>30000</v>
      </c>
      <c r="H377" s="8">
        <v>25830</v>
      </c>
      <c r="I377" s="11">
        <v>-25838.01</v>
      </c>
      <c r="J377" s="8">
        <v>91040.94</v>
      </c>
      <c r="K377" s="8">
        <v>30000</v>
      </c>
    </row>
    <row r="378" spans="1:11">
      <c r="A378" s="8" t="str">
        <f t="shared" si="233"/>
        <v>20150723</v>
      </c>
      <c r="B378" s="8" t="str">
        <f t="shared" si="236"/>
        <v>20150723</v>
      </c>
      <c r="C378" s="8" t="str">
        <f t="shared" si="237"/>
        <v>证券买入</v>
      </c>
      <c r="D378" s="8" t="str">
        <f>"150175"</f>
        <v>150175</v>
      </c>
      <c r="E378" s="8" t="str">
        <f>"H股A"</f>
        <v>H股A</v>
      </c>
      <c r="F378" s="8">
        <v>0.851</v>
      </c>
      <c r="G378" s="8">
        <v>30000</v>
      </c>
      <c r="H378" s="8">
        <v>25530</v>
      </c>
      <c r="I378" s="11">
        <v>-25537.91</v>
      </c>
      <c r="J378" s="8">
        <v>65503.03</v>
      </c>
      <c r="K378" s="8">
        <v>60000</v>
      </c>
    </row>
    <row r="379" spans="1:11">
      <c r="A379" s="8" t="str">
        <f t="shared" si="233"/>
        <v>20150723</v>
      </c>
      <c r="B379" s="8" t="str">
        <f t="shared" si="236"/>
        <v>20150723</v>
      </c>
      <c r="C379" s="8" t="str">
        <f t="shared" si="237"/>
        <v>证券买入</v>
      </c>
      <c r="D379" s="8" t="str">
        <f t="shared" ref="D379:D382" si="238">"600219"</f>
        <v>600219</v>
      </c>
      <c r="E379" s="8" t="str">
        <f t="shared" ref="E379:E382" si="239">"南山铝业"</f>
        <v>南山铝业</v>
      </c>
      <c r="F379" s="8">
        <v>8.65</v>
      </c>
      <c r="G379" s="8">
        <v>4000</v>
      </c>
      <c r="H379" s="8">
        <v>34600</v>
      </c>
      <c r="I379" s="11">
        <v>-34613.13</v>
      </c>
      <c r="J379" s="8">
        <v>30889.9</v>
      </c>
      <c r="K379" s="8">
        <v>6000</v>
      </c>
    </row>
    <row r="380" spans="1:11">
      <c r="A380" s="8" t="str">
        <f>"20150724"</f>
        <v>20150724</v>
      </c>
      <c r="B380" s="8" t="str">
        <f>"20150724"</f>
        <v>20150724</v>
      </c>
      <c r="C380" s="8" t="str">
        <f>"证券卖出"</f>
        <v>证券卖出</v>
      </c>
      <c r="D380" s="8" t="str">
        <f t="shared" si="238"/>
        <v>600219</v>
      </c>
      <c r="E380" s="8" t="str">
        <f t="shared" si="239"/>
        <v>南山铝业</v>
      </c>
      <c r="F380" s="8">
        <v>8.86</v>
      </c>
      <c r="G380" s="8">
        <v>2000</v>
      </c>
      <c r="H380" s="8">
        <v>17720</v>
      </c>
      <c r="I380" s="11">
        <v>17695.59</v>
      </c>
      <c r="J380" s="8">
        <v>48585.49</v>
      </c>
      <c r="K380" s="8">
        <v>4000</v>
      </c>
    </row>
    <row r="381" spans="1:11">
      <c r="A381" s="8" t="str">
        <f t="shared" ref="A381:A384" si="240">"20150727"</f>
        <v>20150727</v>
      </c>
      <c r="B381" s="8" t="str">
        <f t="shared" ref="B381:B384" si="241">"20150727"</f>
        <v>20150727</v>
      </c>
      <c r="C381" s="8" t="str">
        <f>"银行转证券"</f>
        <v>银行转证券</v>
      </c>
      <c r="D381" s="8"/>
      <c r="E381" s="8"/>
      <c r="F381" s="8">
        <v>0</v>
      </c>
      <c r="G381" s="8">
        <v>0</v>
      </c>
      <c r="H381" s="8">
        <v>0</v>
      </c>
      <c r="I381" s="11">
        <v>10000</v>
      </c>
      <c r="J381" s="8">
        <v>58585.49</v>
      </c>
      <c r="K381" s="8">
        <v>0</v>
      </c>
    </row>
    <row r="382" spans="1:11">
      <c r="A382" s="8" t="str">
        <f t="shared" si="240"/>
        <v>20150727</v>
      </c>
      <c r="B382" s="8" t="str">
        <f t="shared" si="241"/>
        <v>20150727</v>
      </c>
      <c r="C382" s="8" t="str">
        <f t="shared" ref="C382:C384" si="242">"证券买入"</f>
        <v>证券买入</v>
      </c>
      <c r="D382" s="8" t="str">
        <f t="shared" si="238"/>
        <v>600219</v>
      </c>
      <c r="E382" s="8" t="str">
        <f t="shared" si="239"/>
        <v>南山铝业</v>
      </c>
      <c r="F382" s="8">
        <v>8.44</v>
      </c>
      <c r="G382" s="8">
        <v>2000</v>
      </c>
      <c r="H382" s="8">
        <v>16880</v>
      </c>
      <c r="I382" s="11">
        <v>-16886.43</v>
      </c>
      <c r="J382" s="8">
        <v>41699.06</v>
      </c>
      <c r="K382" s="8">
        <v>6000</v>
      </c>
    </row>
    <row r="383" spans="1:11">
      <c r="A383" s="8" t="str">
        <f t="shared" si="240"/>
        <v>20150727</v>
      </c>
      <c r="B383" s="8" t="str">
        <f t="shared" si="241"/>
        <v>20150727</v>
      </c>
      <c r="C383" s="8" t="str">
        <f t="shared" si="242"/>
        <v>证券买入</v>
      </c>
      <c r="D383" s="8" t="str">
        <f>"150181"</f>
        <v>150181</v>
      </c>
      <c r="E383" s="8" t="str">
        <f>"军工A"</f>
        <v>军工A</v>
      </c>
      <c r="F383" s="8">
        <v>0.822</v>
      </c>
      <c r="G383" s="8">
        <v>30000</v>
      </c>
      <c r="H383" s="8">
        <v>24660</v>
      </c>
      <c r="I383" s="11">
        <v>-24667.64</v>
      </c>
      <c r="J383" s="8">
        <v>17031.42</v>
      </c>
      <c r="K383" s="8">
        <v>60000</v>
      </c>
    </row>
    <row r="384" spans="1:11">
      <c r="A384" s="8" t="str">
        <f t="shared" si="240"/>
        <v>20150727</v>
      </c>
      <c r="B384" s="8" t="str">
        <f t="shared" si="241"/>
        <v>20150727</v>
      </c>
      <c r="C384" s="8" t="str">
        <f t="shared" si="242"/>
        <v>证券买入</v>
      </c>
      <c r="D384" s="8" t="str">
        <f t="shared" ref="D384:D386" si="243">"600219"</f>
        <v>600219</v>
      </c>
      <c r="E384" s="8" t="str">
        <f t="shared" ref="E384:E386" si="244">"南山铝业"</f>
        <v>南山铝业</v>
      </c>
      <c r="F384" s="8">
        <v>7.77</v>
      </c>
      <c r="G384" s="8">
        <v>1000</v>
      </c>
      <c r="H384" s="8">
        <v>7770</v>
      </c>
      <c r="I384" s="11">
        <v>-7775.6</v>
      </c>
      <c r="J384" s="8">
        <v>9255.82</v>
      </c>
      <c r="K384" s="8">
        <v>7000</v>
      </c>
    </row>
    <row r="385" spans="1:11">
      <c r="A385" s="8" t="str">
        <f t="shared" ref="A385:A389" si="245">"20150728"</f>
        <v>20150728</v>
      </c>
      <c r="B385" s="8" t="str">
        <f t="shared" ref="B385:B389" si="246">"20150728"</f>
        <v>20150728</v>
      </c>
      <c r="C385" s="8" t="str">
        <f t="shared" ref="C385:C388" si="247">"证券卖出"</f>
        <v>证券卖出</v>
      </c>
      <c r="D385" s="8" t="str">
        <f t="shared" si="243"/>
        <v>600219</v>
      </c>
      <c r="E385" s="8" t="str">
        <f t="shared" si="244"/>
        <v>南山铝业</v>
      </c>
      <c r="F385" s="8">
        <v>7.287</v>
      </c>
      <c r="G385" s="8">
        <v>7000</v>
      </c>
      <c r="H385" s="8">
        <v>51008</v>
      </c>
      <c r="I385" s="11">
        <v>50936.99</v>
      </c>
      <c r="J385" s="8">
        <v>60192.81</v>
      </c>
      <c r="K385" s="8">
        <v>0</v>
      </c>
    </row>
    <row r="386" spans="1:11">
      <c r="A386" s="8" t="str">
        <f t="shared" si="245"/>
        <v>20150728</v>
      </c>
      <c r="B386" s="8" t="str">
        <f t="shared" si="246"/>
        <v>20150728</v>
      </c>
      <c r="C386" s="8" t="str">
        <f t="shared" ref="C386:C395" si="248">"证券买入"</f>
        <v>证券买入</v>
      </c>
      <c r="D386" s="8" t="str">
        <f t="shared" si="243"/>
        <v>600219</v>
      </c>
      <c r="E386" s="8" t="str">
        <f t="shared" si="244"/>
        <v>南山铝业</v>
      </c>
      <c r="F386" s="8">
        <v>7.46</v>
      </c>
      <c r="G386" s="8">
        <v>7000</v>
      </c>
      <c r="H386" s="8">
        <v>52220</v>
      </c>
      <c r="I386" s="11">
        <v>-52240.39</v>
      </c>
      <c r="J386" s="8">
        <v>7952.42</v>
      </c>
      <c r="K386" s="8">
        <v>7000</v>
      </c>
    </row>
    <row r="387" spans="1:11">
      <c r="A387" s="8" t="str">
        <f t="shared" si="245"/>
        <v>20150728</v>
      </c>
      <c r="B387" s="8" t="str">
        <f t="shared" si="246"/>
        <v>20150728</v>
      </c>
      <c r="C387" s="8" t="str">
        <f t="shared" si="247"/>
        <v>证券卖出</v>
      </c>
      <c r="D387" s="8" t="str">
        <f>"150181"</f>
        <v>150181</v>
      </c>
      <c r="E387" s="8" t="str">
        <f>"军工A"</f>
        <v>军工A</v>
      </c>
      <c r="F387" s="8">
        <v>0.844</v>
      </c>
      <c r="G387" s="8">
        <v>60000</v>
      </c>
      <c r="H387" s="8">
        <v>50640</v>
      </c>
      <c r="I387" s="11">
        <v>50624.3</v>
      </c>
      <c r="J387" s="8">
        <v>58576.72</v>
      </c>
      <c r="K387" s="8">
        <v>0</v>
      </c>
    </row>
    <row r="388" spans="1:11">
      <c r="A388" s="8" t="str">
        <f t="shared" si="245"/>
        <v>20150728</v>
      </c>
      <c r="B388" s="8" t="str">
        <f t="shared" si="246"/>
        <v>20150728</v>
      </c>
      <c r="C388" s="8" t="str">
        <f t="shared" si="247"/>
        <v>证券卖出</v>
      </c>
      <c r="D388" s="8" t="str">
        <f>"150175"</f>
        <v>150175</v>
      </c>
      <c r="E388" s="8" t="str">
        <f>"H股A"</f>
        <v>H股A</v>
      </c>
      <c r="F388" s="8">
        <v>0.878</v>
      </c>
      <c r="G388" s="8">
        <v>60000</v>
      </c>
      <c r="H388" s="8">
        <v>52680</v>
      </c>
      <c r="I388" s="11">
        <v>52663.67</v>
      </c>
      <c r="J388" s="8">
        <v>111240.39</v>
      </c>
      <c r="K388" s="8">
        <v>0</v>
      </c>
    </row>
    <row r="389" spans="1:11">
      <c r="A389" s="8" t="str">
        <f t="shared" si="245"/>
        <v>20150728</v>
      </c>
      <c r="B389" s="8" t="str">
        <f t="shared" si="246"/>
        <v>20150728</v>
      </c>
      <c r="C389" s="8" t="str">
        <f t="shared" si="248"/>
        <v>证券买入</v>
      </c>
      <c r="D389" s="8" t="str">
        <f t="shared" ref="D389:D391" si="249">"150295"</f>
        <v>150295</v>
      </c>
      <c r="E389" s="8" t="str">
        <f t="shared" ref="E389:E391" si="250">"改革A"</f>
        <v>改革A</v>
      </c>
      <c r="F389" s="8">
        <v>0.86</v>
      </c>
      <c r="G389" s="8">
        <v>30000</v>
      </c>
      <c r="H389" s="8">
        <v>25800</v>
      </c>
      <c r="I389" s="11">
        <v>-25808</v>
      </c>
      <c r="J389" s="8">
        <v>85432.39</v>
      </c>
      <c r="K389" s="8">
        <v>30000</v>
      </c>
    </row>
    <row r="390" spans="1:11">
      <c r="A390" s="8" t="str">
        <f t="shared" ref="A390:A392" si="251">"20150730"</f>
        <v>20150730</v>
      </c>
      <c r="B390" s="8" t="str">
        <f t="shared" ref="B390:B392" si="252">"20150730"</f>
        <v>20150730</v>
      </c>
      <c r="C390" s="8" t="str">
        <f>"证券卖出"</f>
        <v>证券卖出</v>
      </c>
      <c r="D390" s="8" t="str">
        <f t="shared" si="249"/>
        <v>150295</v>
      </c>
      <c r="E390" s="8" t="str">
        <f t="shared" si="250"/>
        <v>改革A</v>
      </c>
      <c r="F390" s="8">
        <v>0.894</v>
      </c>
      <c r="G390" s="8">
        <v>30000</v>
      </c>
      <c r="H390" s="8">
        <v>26820</v>
      </c>
      <c r="I390" s="11">
        <v>26811.69</v>
      </c>
      <c r="J390" s="8">
        <v>112244.08</v>
      </c>
      <c r="K390" s="8">
        <v>0</v>
      </c>
    </row>
    <row r="391" spans="1:11">
      <c r="A391" s="8" t="str">
        <f t="shared" si="251"/>
        <v>20150730</v>
      </c>
      <c r="B391" s="8" t="str">
        <f t="shared" si="252"/>
        <v>20150730</v>
      </c>
      <c r="C391" s="8" t="str">
        <f t="shared" si="248"/>
        <v>证券买入</v>
      </c>
      <c r="D391" s="8" t="str">
        <f t="shared" si="249"/>
        <v>150295</v>
      </c>
      <c r="E391" s="8" t="str">
        <f t="shared" si="250"/>
        <v>改革A</v>
      </c>
      <c r="F391" s="8">
        <v>0.884</v>
      </c>
      <c r="G391" s="8">
        <v>30000</v>
      </c>
      <c r="H391" s="8">
        <v>26520</v>
      </c>
      <c r="I391" s="11">
        <v>-26528.22</v>
      </c>
      <c r="J391" s="8">
        <v>85715.86</v>
      </c>
      <c r="K391" s="8">
        <v>30000</v>
      </c>
    </row>
    <row r="392" spans="1:11">
      <c r="A392" s="8" t="str">
        <f t="shared" si="251"/>
        <v>20150730</v>
      </c>
      <c r="B392" s="8" t="str">
        <f t="shared" si="252"/>
        <v>20150730</v>
      </c>
      <c r="C392" s="8" t="str">
        <f t="shared" si="248"/>
        <v>证券买入</v>
      </c>
      <c r="D392" s="8" t="str">
        <f>"510300"</f>
        <v>510300</v>
      </c>
      <c r="E392" s="8" t="str">
        <f>"300ETF"</f>
        <v>300ETF</v>
      </c>
      <c r="F392" s="8">
        <v>3.94</v>
      </c>
      <c r="G392" s="8">
        <v>2000</v>
      </c>
      <c r="H392" s="8">
        <v>7880</v>
      </c>
      <c r="I392" s="11">
        <v>-7885</v>
      </c>
      <c r="J392" s="8">
        <v>77830.86</v>
      </c>
      <c r="K392" s="8">
        <v>2000</v>
      </c>
    </row>
    <row r="393" spans="1:11">
      <c r="A393" s="8" t="str">
        <f>"20150731"</f>
        <v>20150731</v>
      </c>
      <c r="B393" s="8" t="str">
        <f>"20150731"</f>
        <v>20150731</v>
      </c>
      <c r="C393" s="8" t="str">
        <f t="shared" si="248"/>
        <v>证券买入</v>
      </c>
      <c r="D393" s="8" t="str">
        <f>"150295"</f>
        <v>150295</v>
      </c>
      <c r="E393" s="8" t="str">
        <f>"改革A"</f>
        <v>改革A</v>
      </c>
      <c r="F393" s="8">
        <v>0.9</v>
      </c>
      <c r="G393" s="8">
        <v>30000</v>
      </c>
      <c r="H393" s="8">
        <v>27000</v>
      </c>
      <c r="I393" s="11">
        <v>-27008.37</v>
      </c>
      <c r="J393" s="8">
        <v>50822.49</v>
      </c>
      <c r="K393" s="8">
        <v>60000</v>
      </c>
    </row>
    <row r="394" spans="1:11">
      <c r="A394" s="8" t="str">
        <f t="shared" ref="A394:A398" si="253">"20150803"</f>
        <v>20150803</v>
      </c>
      <c r="B394" s="8" t="str">
        <f t="shared" ref="B394:B398" si="254">"20150803"</f>
        <v>20150803</v>
      </c>
      <c r="C394" s="8" t="str">
        <f t="shared" si="248"/>
        <v>证券买入</v>
      </c>
      <c r="D394" s="8" t="str">
        <f>"510300"</f>
        <v>510300</v>
      </c>
      <c r="E394" s="8" t="str">
        <f>"300ETF"</f>
        <v>300ETF</v>
      </c>
      <c r="F394" s="8">
        <v>3.807</v>
      </c>
      <c r="G394" s="8">
        <v>2000</v>
      </c>
      <c r="H394" s="8">
        <v>7614</v>
      </c>
      <c r="I394" s="11">
        <v>-7619</v>
      </c>
      <c r="J394" s="8">
        <v>43203.49</v>
      </c>
      <c r="K394" s="8">
        <v>4000</v>
      </c>
    </row>
    <row r="395" spans="1:11">
      <c r="A395" s="8" t="str">
        <f t="shared" si="253"/>
        <v>20150803</v>
      </c>
      <c r="B395" s="8" t="str">
        <f t="shared" si="254"/>
        <v>20150803</v>
      </c>
      <c r="C395" s="8" t="str">
        <f t="shared" si="248"/>
        <v>证券买入</v>
      </c>
      <c r="D395" s="8" t="str">
        <f>"150296"</f>
        <v>150296</v>
      </c>
      <c r="E395" s="8" t="str">
        <f>"改革B"</f>
        <v>改革B</v>
      </c>
      <c r="F395" s="8">
        <v>1.215</v>
      </c>
      <c r="G395" s="8">
        <v>30000</v>
      </c>
      <c r="H395" s="8">
        <v>36450.01</v>
      </c>
      <c r="I395" s="11">
        <v>-36461.31</v>
      </c>
      <c r="J395" s="8">
        <v>6742.18</v>
      </c>
      <c r="K395" s="8">
        <v>30000</v>
      </c>
    </row>
    <row r="396" spans="1:11">
      <c r="A396" s="8" t="str">
        <f t="shared" si="253"/>
        <v>20150803</v>
      </c>
      <c r="B396" s="8" t="str">
        <f t="shared" si="254"/>
        <v>20150803</v>
      </c>
      <c r="C396" s="8" t="str">
        <f>"开放基金合并增股"</f>
        <v>开放基金合并增股</v>
      </c>
      <c r="D396" s="8" t="str">
        <f>"160136"</f>
        <v>160136</v>
      </c>
      <c r="E396" s="8" t="str">
        <f>"改革基金"</f>
        <v>改革基金</v>
      </c>
      <c r="F396" s="8">
        <v>1.046</v>
      </c>
      <c r="G396" s="8">
        <v>60000</v>
      </c>
      <c r="H396" s="8">
        <v>0</v>
      </c>
      <c r="I396" s="11">
        <v>0</v>
      </c>
      <c r="J396" s="8">
        <v>6742.18</v>
      </c>
      <c r="K396" s="8">
        <v>60000</v>
      </c>
    </row>
    <row r="397" spans="1:11">
      <c r="A397" s="8" t="str">
        <f t="shared" si="253"/>
        <v>20150803</v>
      </c>
      <c r="B397" s="8" t="str">
        <f t="shared" si="254"/>
        <v>20150803</v>
      </c>
      <c r="C397" s="8" t="str">
        <f>"开放基金合并减股"</f>
        <v>开放基金合并减股</v>
      </c>
      <c r="D397" s="8" t="str">
        <f>"150295"</f>
        <v>150295</v>
      </c>
      <c r="E397" s="8" t="str">
        <f>"改革A"</f>
        <v>改革A</v>
      </c>
      <c r="F397" s="8">
        <v>0.944</v>
      </c>
      <c r="G397" s="8">
        <v>30000</v>
      </c>
      <c r="H397" s="8">
        <v>0</v>
      </c>
      <c r="I397" s="11">
        <v>0</v>
      </c>
      <c r="J397" s="8">
        <v>6742.18</v>
      </c>
      <c r="K397" s="8">
        <v>30000</v>
      </c>
    </row>
    <row r="398" spans="1:11">
      <c r="A398" s="8" t="str">
        <f t="shared" si="253"/>
        <v>20150803</v>
      </c>
      <c r="B398" s="8" t="str">
        <f t="shared" si="254"/>
        <v>20150803</v>
      </c>
      <c r="C398" s="8" t="str">
        <f>"开放基金合并减股"</f>
        <v>开放基金合并减股</v>
      </c>
      <c r="D398" s="8" t="str">
        <f>"150296"</f>
        <v>150296</v>
      </c>
      <c r="E398" s="8" t="str">
        <f>"改革B"</f>
        <v>改革B</v>
      </c>
      <c r="F398" s="8">
        <v>1.194</v>
      </c>
      <c r="G398" s="8">
        <v>30000</v>
      </c>
      <c r="H398" s="8">
        <v>0</v>
      </c>
      <c r="I398" s="11">
        <v>0</v>
      </c>
      <c r="J398" s="8">
        <v>6742.18</v>
      </c>
      <c r="K398" s="8">
        <v>0</v>
      </c>
    </row>
    <row r="399" spans="1:11">
      <c r="A399" s="8" t="str">
        <f t="shared" ref="A399:A401" si="255">"20150804"</f>
        <v>20150804</v>
      </c>
      <c r="B399" s="8" t="str">
        <f t="shared" ref="B399:B401" si="256">"20150804"</f>
        <v>20150804</v>
      </c>
      <c r="C399" s="8" t="str">
        <f t="shared" ref="C399:C402" si="257">"证券卖出"</f>
        <v>证券卖出</v>
      </c>
      <c r="D399" s="8" t="str">
        <f>"150295"</f>
        <v>150295</v>
      </c>
      <c r="E399" s="8" t="str">
        <f>"改革A"</f>
        <v>改革A</v>
      </c>
      <c r="F399" s="8">
        <v>0.916</v>
      </c>
      <c r="G399" s="8">
        <v>30000</v>
      </c>
      <c r="H399" s="8">
        <v>27480</v>
      </c>
      <c r="I399" s="11">
        <v>27471.48</v>
      </c>
      <c r="J399" s="8">
        <v>34213.66</v>
      </c>
      <c r="K399" s="8">
        <v>0</v>
      </c>
    </row>
    <row r="400" spans="1:11">
      <c r="A400" s="8" t="str">
        <f t="shared" si="255"/>
        <v>20150804</v>
      </c>
      <c r="B400" s="8" t="str">
        <f t="shared" si="256"/>
        <v>20150804</v>
      </c>
      <c r="C400" s="8" t="str">
        <f t="shared" si="257"/>
        <v>证券卖出</v>
      </c>
      <c r="D400" s="8" t="str">
        <f t="shared" ref="D400:D405" si="258">"510300"</f>
        <v>510300</v>
      </c>
      <c r="E400" s="8" t="str">
        <f t="shared" ref="E400:E405" si="259">"300ETF"</f>
        <v>300ETF</v>
      </c>
      <c r="F400" s="8">
        <v>3.925</v>
      </c>
      <c r="G400" s="8">
        <v>2000</v>
      </c>
      <c r="H400" s="8">
        <v>7850</v>
      </c>
      <c r="I400" s="11">
        <v>7845</v>
      </c>
      <c r="J400" s="8">
        <v>42058.66</v>
      </c>
      <c r="K400" s="8">
        <v>2000</v>
      </c>
    </row>
    <row r="401" spans="1:11">
      <c r="A401" s="8" t="str">
        <f t="shared" si="255"/>
        <v>20150804</v>
      </c>
      <c r="B401" s="8" t="str">
        <f t="shared" si="256"/>
        <v>20150804</v>
      </c>
      <c r="C401" s="8" t="str">
        <f t="shared" si="257"/>
        <v>证券卖出</v>
      </c>
      <c r="D401" s="8" t="str">
        <f t="shared" si="258"/>
        <v>510300</v>
      </c>
      <c r="E401" s="8" t="str">
        <f t="shared" si="259"/>
        <v>300ETF</v>
      </c>
      <c r="F401" s="8">
        <v>3.985</v>
      </c>
      <c r="G401" s="8">
        <v>2000</v>
      </c>
      <c r="H401" s="8">
        <v>7970</v>
      </c>
      <c r="I401" s="11">
        <v>7965</v>
      </c>
      <c r="J401" s="8">
        <v>50023.66</v>
      </c>
      <c r="K401" s="8">
        <v>0</v>
      </c>
    </row>
    <row r="402" spans="1:11">
      <c r="A402" s="8" t="str">
        <f t="shared" ref="A402:A405" si="260">"20150805"</f>
        <v>20150805</v>
      </c>
      <c r="B402" s="8" t="str">
        <f t="shared" ref="B402:B405" si="261">"20150805"</f>
        <v>20150805</v>
      </c>
      <c r="C402" s="8" t="str">
        <f t="shared" si="257"/>
        <v>证券卖出</v>
      </c>
      <c r="D402" s="8" t="str">
        <f>"600219"</f>
        <v>600219</v>
      </c>
      <c r="E402" s="8" t="str">
        <f>"南山铝业"</f>
        <v>南山铝业</v>
      </c>
      <c r="F402" s="8">
        <v>7.9</v>
      </c>
      <c r="G402" s="8">
        <v>1000</v>
      </c>
      <c r="H402" s="8">
        <v>7900</v>
      </c>
      <c r="I402" s="11">
        <v>7886.94</v>
      </c>
      <c r="J402" s="8">
        <v>57910.6</v>
      </c>
      <c r="K402" s="8">
        <v>6000</v>
      </c>
    </row>
    <row r="403" spans="1:11">
      <c r="A403" s="8" t="str">
        <f t="shared" si="260"/>
        <v>20150805</v>
      </c>
      <c r="B403" s="8" t="str">
        <f t="shared" si="261"/>
        <v>20150805</v>
      </c>
      <c r="C403" s="8" t="str">
        <f t="shared" ref="C403:C405" si="262">"证券买入"</f>
        <v>证券买入</v>
      </c>
      <c r="D403" s="8" t="str">
        <f t="shared" si="258"/>
        <v>510300</v>
      </c>
      <c r="E403" s="8" t="str">
        <f t="shared" si="259"/>
        <v>300ETF</v>
      </c>
      <c r="F403" s="8">
        <v>3.92</v>
      </c>
      <c r="G403" s="8">
        <v>500</v>
      </c>
      <c r="H403" s="8">
        <v>1960</v>
      </c>
      <c r="I403" s="11">
        <v>-1965</v>
      </c>
      <c r="J403" s="8">
        <v>55945.6</v>
      </c>
      <c r="K403" s="8">
        <v>500</v>
      </c>
    </row>
    <row r="404" spans="1:11">
      <c r="A404" s="8" t="str">
        <f t="shared" si="260"/>
        <v>20150805</v>
      </c>
      <c r="B404" s="8" t="str">
        <f t="shared" si="261"/>
        <v>20150805</v>
      </c>
      <c r="C404" s="8" t="str">
        <f t="shared" si="262"/>
        <v>证券买入</v>
      </c>
      <c r="D404" s="8" t="str">
        <f t="shared" si="258"/>
        <v>510300</v>
      </c>
      <c r="E404" s="8" t="str">
        <f t="shared" si="259"/>
        <v>300ETF</v>
      </c>
      <c r="F404" s="8">
        <v>3.918</v>
      </c>
      <c r="G404" s="8">
        <v>1500</v>
      </c>
      <c r="H404" s="8">
        <v>5877</v>
      </c>
      <c r="I404" s="11">
        <v>-5882</v>
      </c>
      <c r="J404" s="8">
        <v>50063.6</v>
      </c>
      <c r="K404" s="8">
        <v>2000</v>
      </c>
    </row>
    <row r="405" spans="1:11">
      <c r="A405" s="8" t="str">
        <f t="shared" si="260"/>
        <v>20150805</v>
      </c>
      <c r="B405" s="8" t="str">
        <f t="shared" si="261"/>
        <v>20150805</v>
      </c>
      <c r="C405" s="8" t="str">
        <f t="shared" si="262"/>
        <v>证券买入</v>
      </c>
      <c r="D405" s="8" t="str">
        <f t="shared" si="258"/>
        <v>510300</v>
      </c>
      <c r="E405" s="8" t="str">
        <f t="shared" si="259"/>
        <v>300ETF</v>
      </c>
      <c r="F405" s="8">
        <v>3.962</v>
      </c>
      <c r="G405" s="8">
        <v>2000</v>
      </c>
      <c r="H405" s="8">
        <v>7924</v>
      </c>
      <c r="I405" s="11">
        <v>-7929</v>
      </c>
      <c r="J405" s="8">
        <v>42134.6</v>
      </c>
      <c r="K405" s="8">
        <v>4000</v>
      </c>
    </row>
    <row r="406" spans="1:11">
      <c r="A406" s="8" t="str">
        <f t="shared" ref="A406:A413" si="263">"20150806"</f>
        <v>20150806</v>
      </c>
      <c r="B406" s="8" t="str">
        <f>"20150804"</f>
        <v>20150804</v>
      </c>
      <c r="C406" s="8" t="str">
        <f>"开放基金赎回"</f>
        <v>开放基金赎回</v>
      </c>
      <c r="D406" s="8" t="str">
        <f>"160136"</f>
        <v>160136</v>
      </c>
      <c r="E406" s="8" t="str">
        <f>"改革基金"</f>
        <v>改革基金</v>
      </c>
      <c r="F406" s="8">
        <v>1.146</v>
      </c>
      <c r="G406" s="8">
        <v>60000</v>
      </c>
      <c r="H406" s="8">
        <v>68772</v>
      </c>
      <c r="I406" s="11">
        <v>68428.14</v>
      </c>
      <c r="J406" s="8">
        <v>110562.74</v>
      </c>
      <c r="K406" s="8">
        <v>0</v>
      </c>
    </row>
    <row r="407" spans="1:11">
      <c r="A407" s="8" t="str">
        <f t="shared" si="263"/>
        <v>20150806</v>
      </c>
      <c r="B407" s="8" t="str">
        <f t="shared" ref="B407:B413" si="264">"20150806"</f>
        <v>20150806</v>
      </c>
      <c r="C407" s="8" t="str">
        <f t="shared" ref="C407:C409" si="265">"证券买入"</f>
        <v>证券买入</v>
      </c>
      <c r="D407" s="8" t="str">
        <f t="shared" ref="D407:D410" si="266">"510300"</f>
        <v>510300</v>
      </c>
      <c r="E407" s="8" t="str">
        <f t="shared" ref="E407:E410" si="267">"300ETF"</f>
        <v>300ETF</v>
      </c>
      <c r="F407" s="8">
        <v>3.862</v>
      </c>
      <c r="G407" s="8">
        <v>2000</v>
      </c>
      <c r="H407" s="8">
        <v>7724</v>
      </c>
      <c r="I407" s="11">
        <v>-7729</v>
      </c>
      <c r="J407" s="8">
        <v>102833.74</v>
      </c>
      <c r="K407" s="8">
        <v>6000</v>
      </c>
    </row>
    <row r="408" spans="1:11">
      <c r="A408" s="8" t="str">
        <f t="shared" si="263"/>
        <v>20150806</v>
      </c>
      <c r="B408" s="8" t="str">
        <f t="shared" si="264"/>
        <v>20150806</v>
      </c>
      <c r="C408" s="8" t="str">
        <f t="shared" si="265"/>
        <v>证券买入</v>
      </c>
      <c r="D408" s="8" t="str">
        <f>"600219"</f>
        <v>600219</v>
      </c>
      <c r="E408" s="8" t="str">
        <f>"南山铝业"</f>
        <v>南山铝业</v>
      </c>
      <c r="F408" s="8">
        <v>7.73</v>
      </c>
      <c r="G408" s="8">
        <v>1000</v>
      </c>
      <c r="H408" s="8">
        <v>7730</v>
      </c>
      <c r="I408" s="11">
        <v>-7735.15</v>
      </c>
      <c r="J408" s="8">
        <v>95098.59</v>
      </c>
      <c r="K408" s="8">
        <v>7000</v>
      </c>
    </row>
    <row r="409" spans="1:11">
      <c r="A409" s="8" t="str">
        <f t="shared" si="263"/>
        <v>20150806</v>
      </c>
      <c r="B409" s="8" t="str">
        <f t="shared" si="264"/>
        <v>20150806</v>
      </c>
      <c r="C409" s="8" t="str">
        <f t="shared" si="265"/>
        <v>证券买入</v>
      </c>
      <c r="D409" s="8" t="str">
        <f t="shared" si="266"/>
        <v>510300</v>
      </c>
      <c r="E409" s="8" t="str">
        <f t="shared" si="267"/>
        <v>300ETF</v>
      </c>
      <c r="F409" s="8">
        <v>3.895</v>
      </c>
      <c r="G409" s="8">
        <v>2000</v>
      </c>
      <c r="H409" s="8">
        <v>7790</v>
      </c>
      <c r="I409" s="11">
        <v>-7795</v>
      </c>
      <c r="J409" s="8">
        <v>87303.59</v>
      </c>
      <c r="K409" s="8">
        <v>8000</v>
      </c>
    </row>
    <row r="410" spans="1:11">
      <c r="A410" s="8" t="str">
        <f t="shared" si="263"/>
        <v>20150806</v>
      </c>
      <c r="B410" s="8" t="str">
        <f t="shared" si="264"/>
        <v>20150806</v>
      </c>
      <c r="C410" s="8" t="str">
        <f t="shared" ref="C410:C414" si="268">"证券卖出"</f>
        <v>证券卖出</v>
      </c>
      <c r="D410" s="8" t="str">
        <f t="shared" si="266"/>
        <v>510300</v>
      </c>
      <c r="E410" s="8" t="str">
        <f t="shared" si="267"/>
        <v>300ETF</v>
      </c>
      <c r="F410" s="8">
        <v>3.888</v>
      </c>
      <c r="G410" s="8">
        <v>4000</v>
      </c>
      <c r="H410" s="8">
        <v>15552</v>
      </c>
      <c r="I410" s="11">
        <v>15547</v>
      </c>
      <c r="J410" s="8">
        <v>102850.59</v>
      </c>
      <c r="K410" s="8">
        <v>4000</v>
      </c>
    </row>
    <row r="411" spans="1:11">
      <c r="A411" s="8" t="str">
        <f t="shared" si="263"/>
        <v>20150806</v>
      </c>
      <c r="B411" s="8" t="str">
        <f t="shared" si="264"/>
        <v>20150806</v>
      </c>
      <c r="C411" s="8" t="str">
        <f t="shared" si="268"/>
        <v>证券卖出</v>
      </c>
      <c r="D411" s="8" t="str">
        <f>"600219"</f>
        <v>600219</v>
      </c>
      <c r="E411" s="8" t="str">
        <f>"南山铝业"</f>
        <v>南山铝业</v>
      </c>
      <c r="F411" s="8">
        <v>7.75</v>
      </c>
      <c r="G411" s="8">
        <v>2000</v>
      </c>
      <c r="H411" s="8">
        <v>15500</v>
      </c>
      <c r="I411" s="11">
        <v>15479.18</v>
      </c>
      <c r="J411" s="8">
        <v>118329.77</v>
      </c>
      <c r="K411" s="8">
        <v>5000</v>
      </c>
    </row>
    <row r="412" spans="1:11">
      <c r="A412" s="8" t="str">
        <f t="shared" si="263"/>
        <v>20150806</v>
      </c>
      <c r="B412" s="8" t="str">
        <f t="shared" si="264"/>
        <v>20150806</v>
      </c>
      <c r="C412" s="8" t="str">
        <f t="shared" ref="C412:C415" si="269">"证券买入"</f>
        <v>证券买入</v>
      </c>
      <c r="D412" s="8" t="str">
        <f t="shared" ref="D412:D416" si="270">"510300"</f>
        <v>510300</v>
      </c>
      <c r="E412" s="8" t="str">
        <f t="shared" ref="E412:E416" si="271">"300ETF"</f>
        <v>300ETF</v>
      </c>
      <c r="F412" s="8">
        <v>3.864</v>
      </c>
      <c r="G412" s="8">
        <v>4000</v>
      </c>
      <c r="H412" s="8">
        <v>15456</v>
      </c>
      <c r="I412" s="11">
        <v>-15461</v>
      </c>
      <c r="J412" s="8">
        <v>102868.77</v>
      </c>
      <c r="K412" s="8">
        <v>8000</v>
      </c>
    </row>
    <row r="413" spans="1:11">
      <c r="A413" s="8" t="str">
        <f t="shared" si="263"/>
        <v>20150806</v>
      </c>
      <c r="B413" s="8" t="str">
        <f t="shared" si="264"/>
        <v>20150806</v>
      </c>
      <c r="C413" s="8" t="str">
        <f t="shared" si="269"/>
        <v>证券买入</v>
      </c>
      <c r="D413" s="8" t="str">
        <f t="shared" ref="D413:D418" si="272">"600789"</f>
        <v>600789</v>
      </c>
      <c r="E413" s="8" t="str">
        <f t="shared" ref="E413:E418" si="273">"鲁抗医药"</f>
        <v>鲁抗医药</v>
      </c>
      <c r="F413" s="8">
        <v>13</v>
      </c>
      <c r="G413" s="8">
        <v>1000</v>
      </c>
      <c r="H413" s="8">
        <v>13000</v>
      </c>
      <c r="I413" s="11">
        <v>-13005.26</v>
      </c>
      <c r="J413" s="8">
        <v>89863.51</v>
      </c>
      <c r="K413" s="8">
        <v>1000</v>
      </c>
    </row>
    <row r="414" spans="1:11">
      <c r="A414" s="8" t="str">
        <f t="shared" ref="A414:A419" si="274">"20150807"</f>
        <v>20150807</v>
      </c>
      <c r="B414" s="8" t="str">
        <f t="shared" ref="B414:B419" si="275">"20150807"</f>
        <v>20150807</v>
      </c>
      <c r="C414" s="8" t="str">
        <f t="shared" si="268"/>
        <v>证券卖出</v>
      </c>
      <c r="D414" s="8" t="str">
        <f t="shared" si="270"/>
        <v>510300</v>
      </c>
      <c r="E414" s="8" t="str">
        <f t="shared" si="271"/>
        <v>300ETF</v>
      </c>
      <c r="F414" s="8">
        <v>3.912</v>
      </c>
      <c r="G414" s="8">
        <v>4000</v>
      </c>
      <c r="H414" s="8">
        <v>15648</v>
      </c>
      <c r="I414" s="11">
        <v>15643</v>
      </c>
      <c r="J414" s="8">
        <v>105506.51</v>
      </c>
      <c r="K414" s="8">
        <v>4000</v>
      </c>
    </row>
    <row r="415" spans="1:11">
      <c r="A415" s="8" t="str">
        <f t="shared" si="274"/>
        <v>20150807</v>
      </c>
      <c r="B415" s="8" t="str">
        <f t="shared" si="275"/>
        <v>20150807</v>
      </c>
      <c r="C415" s="8" t="str">
        <f t="shared" si="269"/>
        <v>证券买入</v>
      </c>
      <c r="D415" s="8" t="str">
        <f t="shared" si="272"/>
        <v>600789</v>
      </c>
      <c r="E415" s="8" t="str">
        <f t="shared" si="273"/>
        <v>鲁抗医药</v>
      </c>
      <c r="F415" s="8">
        <v>12.85</v>
      </c>
      <c r="G415" s="8">
        <v>1000</v>
      </c>
      <c r="H415" s="8">
        <v>12850</v>
      </c>
      <c r="I415" s="11">
        <v>-12855.26</v>
      </c>
      <c r="J415" s="8">
        <v>92651.25</v>
      </c>
      <c r="K415" s="8">
        <v>2000</v>
      </c>
    </row>
    <row r="416" spans="1:11">
      <c r="A416" s="8" t="str">
        <f t="shared" si="274"/>
        <v>20150807</v>
      </c>
      <c r="B416" s="8" t="str">
        <f t="shared" si="275"/>
        <v>20150807</v>
      </c>
      <c r="C416" s="8" t="str">
        <f t="shared" ref="C416:C422" si="276">"证券卖出"</f>
        <v>证券卖出</v>
      </c>
      <c r="D416" s="8" t="str">
        <f t="shared" si="270"/>
        <v>510300</v>
      </c>
      <c r="E416" s="8" t="str">
        <f t="shared" si="271"/>
        <v>300ETF</v>
      </c>
      <c r="F416" s="8">
        <v>3.939</v>
      </c>
      <c r="G416" s="8">
        <v>4000</v>
      </c>
      <c r="H416" s="8">
        <v>15756</v>
      </c>
      <c r="I416" s="11">
        <v>15751</v>
      </c>
      <c r="J416" s="8">
        <v>108402.25</v>
      </c>
      <c r="K416" s="8">
        <v>0</v>
      </c>
    </row>
    <row r="417" spans="1:11">
      <c r="A417" s="8" t="str">
        <f t="shared" si="274"/>
        <v>20150807</v>
      </c>
      <c r="B417" s="8" t="str">
        <f t="shared" si="275"/>
        <v>20150807</v>
      </c>
      <c r="C417" s="8" t="str">
        <f t="shared" si="276"/>
        <v>证券卖出</v>
      </c>
      <c r="D417" s="8" t="str">
        <f t="shared" si="272"/>
        <v>600789</v>
      </c>
      <c r="E417" s="8" t="str">
        <f t="shared" si="273"/>
        <v>鲁抗医药</v>
      </c>
      <c r="F417" s="8">
        <v>12.9</v>
      </c>
      <c r="G417" s="8">
        <v>1000</v>
      </c>
      <c r="H417" s="8">
        <v>12900</v>
      </c>
      <c r="I417" s="11">
        <v>12881.85</v>
      </c>
      <c r="J417" s="8">
        <v>121284.1</v>
      </c>
      <c r="K417" s="8">
        <v>1000</v>
      </c>
    </row>
    <row r="418" spans="1:11">
      <c r="A418" s="8" t="str">
        <f t="shared" si="274"/>
        <v>20150807</v>
      </c>
      <c r="B418" s="8" t="str">
        <f t="shared" si="275"/>
        <v>20150807</v>
      </c>
      <c r="C418" s="8" t="str">
        <f t="shared" ref="C418:C423" si="277">"证券买入"</f>
        <v>证券买入</v>
      </c>
      <c r="D418" s="8" t="str">
        <f t="shared" si="272"/>
        <v>600789</v>
      </c>
      <c r="E418" s="8" t="str">
        <f t="shared" si="273"/>
        <v>鲁抗医药</v>
      </c>
      <c r="F418" s="8">
        <v>12.95</v>
      </c>
      <c r="G418" s="8">
        <v>2000</v>
      </c>
      <c r="H418" s="8">
        <v>25900</v>
      </c>
      <c r="I418" s="11">
        <v>-25908.55</v>
      </c>
      <c r="J418" s="8">
        <v>95375.55</v>
      </c>
      <c r="K418" s="8">
        <v>3000</v>
      </c>
    </row>
    <row r="419" spans="1:11">
      <c r="A419" s="8" t="str">
        <f t="shared" si="274"/>
        <v>20150807</v>
      </c>
      <c r="B419" s="8" t="str">
        <f t="shared" si="275"/>
        <v>20150807</v>
      </c>
      <c r="C419" s="8" t="str">
        <f t="shared" si="277"/>
        <v>证券买入</v>
      </c>
      <c r="D419" s="8" t="str">
        <f t="shared" ref="D419:D422" si="278">"510300"</f>
        <v>510300</v>
      </c>
      <c r="E419" s="8" t="str">
        <f t="shared" ref="E419:E422" si="279">"300ETF"</f>
        <v>300ETF</v>
      </c>
      <c r="F419" s="8">
        <v>3.932</v>
      </c>
      <c r="G419" s="8">
        <v>4000</v>
      </c>
      <c r="H419" s="8">
        <v>15728</v>
      </c>
      <c r="I419" s="11">
        <v>-15733</v>
      </c>
      <c r="J419" s="8">
        <v>79642.55</v>
      </c>
      <c r="K419" s="8">
        <v>4000</v>
      </c>
    </row>
    <row r="420" spans="1:11">
      <c r="A420" s="8" t="str">
        <f t="shared" ref="A420:A423" si="280">"20150810"</f>
        <v>20150810</v>
      </c>
      <c r="B420" s="8" t="str">
        <f t="shared" ref="B420:B423" si="281">"20150810"</f>
        <v>20150810</v>
      </c>
      <c r="C420" s="8" t="str">
        <f t="shared" si="276"/>
        <v>证券卖出</v>
      </c>
      <c r="D420" s="8" t="str">
        <f>"600789"</f>
        <v>600789</v>
      </c>
      <c r="E420" s="8" t="str">
        <f>"鲁抗医药"</f>
        <v>鲁抗医药</v>
      </c>
      <c r="F420" s="8">
        <v>13.49</v>
      </c>
      <c r="G420" s="8">
        <v>2000</v>
      </c>
      <c r="H420" s="8">
        <v>26980</v>
      </c>
      <c r="I420" s="11">
        <v>26944.12</v>
      </c>
      <c r="J420" s="8">
        <v>106586.67</v>
      </c>
      <c r="K420" s="8">
        <v>1000</v>
      </c>
    </row>
    <row r="421" spans="1:11">
      <c r="A421" s="8" t="str">
        <f t="shared" si="280"/>
        <v>20150810</v>
      </c>
      <c r="B421" s="8" t="str">
        <f t="shared" si="281"/>
        <v>20150810</v>
      </c>
      <c r="C421" s="8" t="str">
        <f t="shared" si="276"/>
        <v>证券卖出</v>
      </c>
      <c r="D421" s="8" t="str">
        <f t="shared" si="278"/>
        <v>510300</v>
      </c>
      <c r="E421" s="8" t="str">
        <f t="shared" si="279"/>
        <v>300ETF</v>
      </c>
      <c r="F421" s="8">
        <v>3.988</v>
      </c>
      <c r="G421" s="8">
        <v>2000</v>
      </c>
      <c r="H421" s="8">
        <v>7976</v>
      </c>
      <c r="I421" s="11">
        <v>7971</v>
      </c>
      <c r="J421" s="8">
        <v>114557.67</v>
      </c>
      <c r="K421" s="8">
        <v>2000</v>
      </c>
    </row>
    <row r="422" spans="1:11">
      <c r="A422" s="8" t="str">
        <f t="shared" si="280"/>
        <v>20150810</v>
      </c>
      <c r="B422" s="8" t="str">
        <f t="shared" si="281"/>
        <v>20150810</v>
      </c>
      <c r="C422" s="8" t="str">
        <f t="shared" si="276"/>
        <v>证券卖出</v>
      </c>
      <c r="D422" s="8" t="str">
        <f t="shared" si="278"/>
        <v>510300</v>
      </c>
      <c r="E422" s="8" t="str">
        <f t="shared" si="279"/>
        <v>300ETF</v>
      </c>
      <c r="F422" s="8">
        <v>4.007</v>
      </c>
      <c r="G422" s="8">
        <v>2000</v>
      </c>
      <c r="H422" s="8">
        <v>8014</v>
      </c>
      <c r="I422" s="11">
        <v>8009</v>
      </c>
      <c r="J422" s="8">
        <v>122566.67</v>
      </c>
      <c r="K422" s="8">
        <v>0</v>
      </c>
    </row>
    <row r="423" spans="1:11">
      <c r="A423" s="8" t="str">
        <f t="shared" si="280"/>
        <v>20150810</v>
      </c>
      <c r="B423" s="8" t="str">
        <f t="shared" si="281"/>
        <v>20150810</v>
      </c>
      <c r="C423" s="8" t="str">
        <f t="shared" si="277"/>
        <v>证券买入</v>
      </c>
      <c r="D423" s="8" t="str">
        <f t="shared" ref="D423:D427" si="282">"600597"</f>
        <v>600597</v>
      </c>
      <c r="E423" s="8" t="str">
        <f t="shared" ref="E423:E427" si="283">"光明乳业"</f>
        <v>光明乳业</v>
      </c>
      <c r="F423" s="8">
        <v>20</v>
      </c>
      <c r="G423" s="8">
        <v>3000</v>
      </c>
      <c r="H423" s="8">
        <v>60000</v>
      </c>
      <c r="I423" s="11">
        <v>-60019.8</v>
      </c>
      <c r="J423" s="8">
        <v>62546.87</v>
      </c>
      <c r="K423" s="8">
        <v>3000</v>
      </c>
    </row>
    <row r="424" spans="1:11">
      <c r="A424" s="8" t="str">
        <f>"20150811"</f>
        <v>20150811</v>
      </c>
      <c r="B424" s="8" t="str">
        <f>"20150811"</f>
        <v>20150811</v>
      </c>
      <c r="C424" s="8" t="str">
        <f t="shared" ref="C424:C431" si="284">"证券卖出"</f>
        <v>证券卖出</v>
      </c>
      <c r="D424" s="8" t="str">
        <f>"600789"</f>
        <v>600789</v>
      </c>
      <c r="E424" s="8" t="str">
        <f>"鲁抗医药"</f>
        <v>鲁抗医药</v>
      </c>
      <c r="F424" s="8">
        <v>13.84</v>
      </c>
      <c r="G424" s="8">
        <v>1000</v>
      </c>
      <c r="H424" s="8">
        <v>13840</v>
      </c>
      <c r="I424" s="11">
        <v>13820.88</v>
      </c>
      <c r="J424" s="8">
        <v>76367.75</v>
      </c>
      <c r="K424" s="8">
        <v>0</v>
      </c>
    </row>
    <row r="425" spans="1:11">
      <c r="A425" s="8" t="str">
        <f>"20150811"</f>
        <v>20150811</v>
      </c>
      <c r="B425" s="8" t="str">
        <f>"20150811"</f>
        <v>20150811</v>
      </c>
      <c r="C425" s="8" t="str">
        <f>"证券买入"</f>
        <v>证券买入</v>
      </c>
      <c r="D425" s="8" t="str">
        <f t="shared" si="282"/>
        <v>600597</v>
      </c>
      <c r="E425" s="8" t="str">
        <f t="shared" si="283"/>
        <v>光明乳业</v>
      </c>
      <c r="F425" s="8">
        <v>20.732</v>
      </c>
      <c r="G425" s="8">
        <v>3000</v>
      </c>
      <c r="H425" s="8">
        <v>62195</v>
      </c>
      <c r="I425" s="11">
        <v>-62215.53</v>
      </c>
      <c r="J425" s="8">
        <v>14152.22</v>
      </c>
      <c r="K425" s="8">
        <v>6000</v>
      </c>
    </row>
    <row r="426" spans="1:11">
      <c r="A426" s="8" t="str">
        <f>"20150812"</f>
        <v>20150812</v>
      </c>
      <c r="B426" s="8" t="str">
        <f>"20150812"</f>
        <v>20150812</v>
      </c>
      <c r="C426" s="8" t="str">
        <f t="shared" si="284"/>
        <v>证券卖出</v>
      </c>
      <c r="D426" s="8" t="str">
        <f t="shared" si="282"/>
        <v>600597</v>
      </c>
      <c r="E426" s="8" t="str">
        <f t="shared" si="283"/>
        <v>光明乳业</v>
      </c>
      <c r="F426" s="8">
        <v>20.67</v>
      </c>
      <c r="G426" s="8">
        <v>6000</v>
      </c>
      <c r="H426" s="8">
        <v>124020</v>
      </c>
      <c r="I426" s="11">
        <v>123855.04</v>
      </c>
      <c r="J426" s="8">
        <v>138007.26</v>
      </c>
      <c r="K426" s="8">
        <v>0</v>
      </c>
    </row>
    <row r="427" spans="1:11">
      <c r="A427" s="8" t="str">
        <f>"20150812"</f>
        <v>20150812</v>
      </c>
      <c r="B427" s="8" t="str">
        <f>"20150812"</f>
        <v>20150812</v>
      </c>
      <c r="C427" s="8" t="str">
        <f>"证券买入"</f>
        <v>证券买入</v>
      </c>
      <c r="D427" s="8" t="str">
        <f t="shared" si="282"/>
        <v>600597</v>
      </c>
      <c r="E427" s="8" t="str">
        <f t="shared" si="283"/>
        <v>光明乳业</v>
      </c>
      <c r="F427" s="8">
        <v>20.85</v>
      </c>
      <c r="G427" s="8">
        <v>3000</v>
      </c>
      <c r="H427" s="8">
        <v>62550</v>
      </c>
      <c r="I427" s="11">
        <v>-62570.64</v>
      </c>
      <c r="J427" s="8">
        <v>75436.62</v>
      </c>
      <c r="K427" s="8">
        <v>3000</v>
      </c>
    </row>
    <row r="428" spans="1:11">
      <c r="A428" s="8" t="str">
        <f t="shared" ref="A428:A431" si="285">"20150813"</f>
        <v>20150813</v>
      </c>
      <c r="B428" s="8" t="str">
        <f t="shared" ref="B428:B431" si="286">"20150813"</f>
        <v>20150813</v>
      </c>
      <c r="C428" s="8" t="str">
        <f>"证券转银行"</f>
        <v>证券转银行</v>
      </c>
      <c r="D428" s="8"/>
      <c r="E428" s="8"/>
      <c r="F428" s="8">
        <v>0</v>
      </c>
      <c r="G428" s="8">
        <v>0</v>
      </c>
      <c r="H428" s="8">
        <v>0</v>
      </c>
      <c r="I428" s="11">
        <v>-75000</v>
      </c>
      <c r="J428" s="8">
        <v>436.62</v>
      </c>
      <c r="K428" s="8">
        <v>0</v>
      </c>
    </row>
    <row r="429" spans="1:11">
      <c r="A429" s="8" t="str">
        <f t="shared" si="285"/>
        <v>20150813</v>
      </c>
      <c r="B429" s="8" t="str">
        <f t="shared" si="286"/>
        <v>20150813</v>
      </c>
      <c r="C429" s="8" t="str">
        <f t="shared" si="284"/>
        <v>证券卖出</v>
      </c>
      <c r="D429" s="8" t="str">
        <f t="shared" ref="D429:D431" si="287">"600597"</f>
        <v>600597</v>
      </c>
      <c r="E429" s="8" t="str">
        <f t="shared" ref="E429:E431" si="288">"光明乳业"</f>
        <v>光明乳业</v>
      </c>
      <c r="F429" s="8">
        <v>21.195</v>
      </c>
      <c r="G429" s="8">
        <v>1000</v>
      </c>
      <c r="H429" s="8">
        <v>21195</v>
      </c>
      <c r="I429" s="11">
        <v>21166.81</v>
      </c>
      <c r="J429" s="8">
        <v>21603.43</v>
      </c>
      <c r="K429" s="8">
        <v>2000</v>
      </c>
    </row>
    <row r="430" spans="1:11">
      <c r="A430" s="8" t="str">
        <f t="shared" si="285"/>
        <v>20150813</v>
      </c>
      <c r="B430" s="8" t="str">
        <f t="shared" si="286"/>
        <v>20150813</v>
      </c>
      <c r="C430" s="8" t="str">
        <f t="shared" si="284"/>
        <v>证券卖出</v>
      </c>
      <c r="D430" s="8" t="str">
        <f t="shared" si="287"/>
        <v>600597</v>
      </c>
      <c r="E430" s="8" t="str">
        <f t="shared" si="288"/>
        <v>光明乳业</v>
      </c>
      <c r="F430" s="8">
        <v>21.23</v>
      </c>
      <c r="G430" s="8">
        <v>1000</v>
      </c>
      <c r="H430" s="8">
        <v>21230</v>
      </c>
      <c r="I430" s="11">
        <v>21201.77</v>
      </c>
      <c r="J430" s="8">
        <v>42805.2</v>
      </c>
      <c r="K430" s="8">
        <v>1000</v>
      </c>
    </row>
    <row r="431" spans="1:11">
      <c r="A431" s="8" t="str">
        <f t="shared" si="285"/>
        <v>20150813</v>
      </c>
      <c r="B431" s="8" t="str">
        <f t="shared" si="286"/>
        <v>20150813</v>
      </c>
      <c r="C431" s="8" t="str">
        <f t="shared" si="284"/>
        <v>证券卖出</v>
      </c>
      <c r="D431" s="8" t="str">
        <f t="shared" si="287"/>
        <v>600597</v>
      </c>
      <c r="E431" s="8" t="str">
        <f t="shared" si="288"/>
        <v>光明乳业</v>
      </c>
      <c r="F431" s="8">
        <v>20.96</v>
      </c>
      <c r="G431" s="8">
        <v>1000</v>
      </c>
      <c r="H431" s="8">
        <v>20960</v>
      </c>
      <c r="I431" s="11">
        <v>20932.12</v>
      </c>
      <c r="J431" s="8">
        <v>63737.32</v>
      </c>
      <c r="K431" s="8">
        <v>0</v>
      </c>
    </row>
    <row r="432" spans="1:11">
      <c r="A432" s="8" t="str">
        <f t="shared" ref="A432:A434" si="289">"20150814"</f>
        <v>20150814</v>
      </c>
      <c r="B432" s="8" t="str">
        <f t="shared" ref="B432:B434" si="290">"20150814"</f>
        <v>20150814</v>
      </c>
      <c r="C432" s="8" t="str">
        <f t="shared" ref="C432:C437" si="291">"证券买入"</f>
        <v>证券买入</v>
      </c>
      <c r="D432" s="8" t="str">
        <f>"600219"</f>
        <v>600219</v>
      </c>
      <c r="E432" s="8" t="str">
        <f>"南山铝业"</f>
        <v>南山铝业</v>
      </c>
      <c r="F432" s="8">
        <v>8.53</v>
      </c>
      <c r="G432" s="8">
        <v>5000</v>
      </c>
      <c r="H432" s="8">
        <v>42650</v>
      </c>
      <c r="I432" s="11">
        <v>-42664.07</v>
      </c>
      <c r="J432" s="8">
        <v>21073.25</v>
      </c>
      <c r="K432" s="8">
        <v>10000</v>
      </c>
    </row>
    <row r="433" spans="1:11">
      <c r="A433" s="8" t="str">
        <f t="shared" si="289"/>
        <v>20150814</v>
      </c>
      <c r="B433" s="8" t="str">
        <f t="shared" si="290"/>
        <v>20150814</v>
      </c>
      <c r="C433" s="8" t="str">
        <f>"证券卖出"</f>
        <v>证券卖出</v>
      </c>
      <c r="D433" s="8" t="str">
        <f>"600219"</f>
        <v>600219</v>
      </c>
      <c r="E433" s="8" t="str">
        <f>"南山铝业"</f>
        <v>南山铝业</v>
      </c>
      <c r="F433" s="8">
        <v>8.49</v>
      </c>
      <c r="G433" s="8">
        <v>5000</v>
      </c>
      <c r="H433" s="8">
        <v>42450</v>
      </c>
      <c r="I433" s="11">
        <v>42393.54</v>
      </c>
      <c r="J433" s="8">
        <v>63466.79</v>
      </c>
      <c r="K433" s="8">
        <v>5000</v>
      </c>
    </row>
    <row r="434" spans="1:11">
      <c r="A434" s="8" t="str">
        <f t="shared" si="289"/>
        <v>20150814</v>
      </c>
      <c r="B434" s="8" t="str">
        <f t="shared" si="290"/>
        <v>20150814</v>
      </c>
      <c r="C434" s="8" t="str">
        <f t="shared" si="291"/>
        <v>证券买入</v>
      </c>
      <c r="D434" s="8" t="str">
        <f>"002197"</f>
        <v>002197</v>
      </c>
      <c r="E434" s="8" t="str">
        <f>"证通电子"</f>
        <v>证通电子</v>
      </c>
      <c r="F434" s="8">
        <v>26.18</v>
      </c>
      <c r="G434" s="8">
        <v>500</v>
      </c>
      <c r="H434" s="8">
        <v>13090</v>
      </c>
      <c r="I434" s="11">
        <v>-13095</v>
      </c>
      <c r="J434" s="8">
        <v>50371.79</v>
      </c>
      <c r="K434" s="8">
        <v>500</v>
      </c>
    </row>
    <row r="435" spans="1:11">
      <c r="A435" s="8" t="str">
        <f>"20150821"</f>
        <v>20150821</v>
      </c>
      <c r="B435" s="8" t="str">
        <f>"20150821"</f>
        <v>20150821</v>
      </c>
      <c r="C435" s="8" t="str">
        <f t="shared" si="291"/>
        <v>证券买入</v>
      </c>
      <c r="D435" s="8" t="str">
        <f>"510300"</f>
        <v>510300</v>
      </c>
      <c r="E435" s="8" t="str">
        <f>"300ETF"</f>
        <v>300ETF</v>
      </c>
      <c r="F435" s="8">
        <v>3.71</v>
      </c>
      <c r="G435" s="8">
        <v>2000</v>
      </c>
      <c r="H435" s="8">
        <v>7420</v>
      </c>
      <c r="I435" s="11">
        <v>-7425</v>
      </c>
      <c r="J435" s="8">
        <v>42946.79</v>
      </c>
      <c r="K435" s="8">
        <v>2000</v>
      </c>
    </row>
    <row r="436" spans="1:11">
      <c r="A436" s="8" t="str">
        <f>"20150825"</f>
        <v>20150825</v>
      </c>
      <c r="B436" s="8" t="str">
        <f>"20150825"</f>
        <v>20150825</v>
      </c>
      <c r="C436" s="8" t="str">
        <f t="shared" si="291"/>
        <v>证券买入</v>
      </c>
      <c r="D436" s="8" t="str">
        <f t="shared" ref="D436:D440" si="292">"150209"</f>
        <v>150209</v>
      </c>
      <c r="E436" s="8" t="str">
        <f t="shared" ref="E436:E440" si="293">"国企改A"</f>
        <v>国企改A</v>
      </c>
      <c r="F436" s="8">
        <v>0.916</v>
      </c>
      <c r="G436" s="8">
        <v>20000</v>
      </c>
      <c r="H436" s="8">
        <v>18320</v>
      </c>
      <c r="I436" s="11">
        <v>-18325.68</v>
      </c>
      <c r="J436" s="8">
        <v>24621.11</v>
      </c>
      <c r="K436" s="8">
        <v>20000</v>
      </c>
    </row>
    <row r="437" spans="1:11">
      <c r="A437" s="8" t="str">
        <f>"20150826"</f>
        <v>20150826</v>
      </c>
      <c r="B437" s="8" t="str">
        <f>"20150826"</f>
        <v>20150826</v>
      </c>
      <c r="C437" s="8" t="str">
        <f t="shared" si="291"/>
        <v>证券买入</v>
      </c>
      <c r="D437" s="8" t="str">
        <f t="shared" si="292"/>
        <v>150209</v>
      </c>
      <c r="E437" s="8" t="str">
        <f t="shared" si="293"/>
        <v>国企改A</v>
      </c>
      <c r="F437" s="8">
        <v>0.918</v>
      </c>
      <c r="G437" s="8">
        <v>20000</v>
      </c>
      <c r="H437" s="8">
        <v>18360</v>
      </c>
      <c r="I437" s="11">
        <v>-18365.69</v>
      </c>
      <c r="J437" s="8">
        <v>6255.42</v>
      </c>
      <c r="K437" s="8">
        <v>40000</v>
      </c>
    </row>
    <row r="438" spans="1:11">
      <c r="A438" s="8" t="str">
        <f>"20150827"</f>
        <v>20150827</v>
      </c>
      <c r="B438" s="8" t="str">
        <f>"20150827"</f>
        <v>20150827</v>
      </c>
      <c r="C438" s="8" t="str">
        <f>"银行转证券"</f>
        <v>银行转证券</v>
      </c>
      <c r="D438" s="8"/>
      <c r="E438" s="8"/>
      <c r="F438" s="8">
        <v>0</v>
      </c>
      <c r="G438" s="8">
        <v>0</v>
      </c>
      <c r="H438" s="8">
        <v>0</v>
      </c>
      <c r="I438" s="11">
        <v>100000</v>
      </c>
      <c r="J438" s="8">
        <v>106255.42</v>
      </c>
      <c r="K438" s="8">
        <v>0</v>
      </c>
    </row>
    <row r="439" spans="1:11">
      <c r="A439" s="8" t="str">
        <f>"20150827"</f>
        <v>20150827</v>
      </c>
      <c r="B439" s="8" t="str">
        <f>"20150827"</f>
        <v>20150827</v>
      </c>
      <c r="C439" s="8" t="str">
        <f>"证券买入"</f>
        <v>证券买入</v>
      </c>
      <c r="D439" s="8" t="str">
        <f t="shared" si="292"/>
        <v>150209</v>
      </c>
      <c r="E439" s="8" t="str">
        <f t="shared" si="293"/>
        <v>国企改A</v>
      </c>
      <c r="F439" s="8">
        <v>0.936</v>
      </c>
      <c r="G439" s="8">
        <v>112900</v>
      </c>
      <c r="H439" s="8">
        <v>105674.4</v>
      </c>
      <c r="I439" s="11">
        <v>-105707.16</v>
      </c>
      <c r="J439" s="8">
        <v>548.26</v>
      </c>
      <c r="K439" s="8">
        <v>152900</v>
      </c>
    </row>
    <row r="440" spans="1:11">
      <c r="A440" s="8" t="str">
        <f t="shared" ref="A440:A442" si="294">"20150828"</f>
        <v>20150828</v>
      </c>
      <c r="B440" s="8" t="str">
        <f t="shared" ref="B440:B442" si="295">"20150828"</f>
        <v>20150828</v>
      </c>
      <c r="C440" s="8" t="str">
        <f>"开放基金拆分增股"</f>
        <v>开放基金拆分增股</v>
      </c>
      <c r="D440" s="8" t="str">
        <f t="shared" si="292"/>
        <v>150209</v>
      </c>
      <c r="E440" s="8" t="str">
        <f t="shared" si="293"/>
        <v>国企改A</v>
      </c>
      <c r="F440" s="8">
        <v>0</v>
      </c>
      <c r="G440" s="8">
        <v>44557</v>
      </c>
      <c r="H440" s="8">
        <v>0</v>
      </c>
      <c r="I440" s="11">
        <v>0</v>
      </c>
      <c r="J440" s="8">
        <v>548.26</v>
      </c>
      <c r="K440" s="8">
        <v>197457</v>
      </c>
    </row>
    <row r="441" spans="1:11">
      <c r="A441" s="8" t="str">
        <f t="shared" si="294"/>
        <v>20150828</v>
      </c>
      <c r="B441" s="8" t="str">
        <f t="shared" si="295"/>
        <v>20150828</v>
      </c>
      <c r="C441" s="8" t="str">
        <f>"开放基金拆分增股"</f>
        <v>开放基金拆分增股</v>
      </c>
      <c r="D441" s="8" t="str">
        <f>"161026"</f>
        <v>161026</v>
      </c>
      <c r="E441" s="8" t="str">
        <f>"国企改革"</f>
        <v>国企改革</v>
      </c>
      <c r="F441" s="8">
        <v>0</v>
      </c>
      <c r="G441" s="8">
        <v>110560</v>
      </c>
      <c r="H441" s="8">
        <v>0</v>
      </c>
      <c r="I441" s="11">
        <v>0</v>
      </c>
      <c r="J441" s="8">
        <v>548.26</v>
      </c>
      <c r="K441" s="8">
        <v>110560</v>
      </c>
    </row>
    <row r="442" spans="1:11">
      <c r="A442" s="8" t="str">
        <f t="shared" si="294"/>
        <v>20150828</v>
      </c>
      <c r="B442" s="8" t="str">
        <f t="shared" si="295"/>
        <v>20150828</v>
      </c>
      <c r="C442" s="8" t="str">
        <f>"开放基金合并减股"</f>
        <v>开放基金合并减股</v>
      </c>
      <c r="D442" s="8" t="str">
        <f>"150209"</f>
        <v>150209</v>
      </c>
      <c r="E442" s="8" t="str">
        <f>"国企改A"</f>
        <v>国企改A</v>
      </c>
      <c r="F442" s="8">
        <v>0</v>
      </c>
      <c r="G442" s="8">
        <v>152900</v>
      </c>
      <c r="H442" s="8">
        <v>0</v>
      </c>
      <c r="I442" s="11">
        <v>0</v>
      </c>
      <c r="J442" s="8">
        <v>548.26</v>
      </c>
      <c r="K442" s="8">
        <v>44557</v>
      </c>
    </row>
    <row r="443" spans="1:11">
      <c r="A443" s="8" t="str">
        <f>"20150831"</f>
        <v>20150831</v>
      </c>
      <c r="B443" s="8" t="str">
        <f>"20150831"</f>
        <v>20150831</v>
      </c>
      <c r="C443" s="8" t="str">
        <f>"证券卖出"</f>
        <v>证券卖出</v>
      </c>
      <c r="D443" s="8" t="str">
        <f>"150209"</f>
        <v>150209</v>
      </c>
      <c r="E443" s="8" t="str">
        <f>"国企改A"</f>
        <v>国企改A</v>
      </c>
      <c r="F443" s="8">
        <v>0.901</v>
      </c>
      <c r="G443" s="8">
        <v>44557</v>
      </c>
      <c r="H443" s="8">
        <v>40145.86</v>
      </c>
      <c r="I443" s="11">
        <v>40133.41</v>
      </c>
      <c r="J443" s="8">
        <v>40681.67</v>
      </c>
      <c r="K443" s="8">
        <v>0</v>
      </c>
    </row>
    <row r="444" spans="1:11">
      <c r="A444" s="8" t="str">
        <f>"20150901"</f>
        <v>20150901</v>
      </c>
      <c r="B444" s="8" t="str">
        <f>"20150901"</f>
        <v>20150901</v>
      </c>
      <c r="C444" s="8" t="str">
        <f>"证券转银行"</f>
        <v>证券转银行</v>
      </c>
      <c r="D444" s="8"/>
      <c r="E444" s="8"/>
      <c r="F444" s="8">
        <v>0</v>
      </c>
      <c r="G444" s="8">
        <v>0</v>
      </c>
      <c r="H444" s="8">
        <v>0</v>
      </c>
      <c r="I444" s="11">
        <v>-40000</v>
      </c>
      <c r="J444" s="8">
        <v>681.67</v>
      </c>
      <c r="K444" s="8">
        <v>0</v>
      </c>
    </row>
    <row r="445" spans="1:11">
      <c r="A445" s="8" t="str">
        <f>"20150902"</f>
        <v>20150902</v>
      </c>
      <c r="B445" s="8" t="str">
        <f>"20150831"</f>
        <v>20150831</v>
      </c>
      <c r="C445" s="8" t="str">
        <f>"开放基金赎回"</f>
        <v>开放基金赎回</v>
      </c>
      <c r="D445" s="8" t="str">
        <f>"161026"</f>
        <v>161026</v>
      </c>
      <c r="E445" s="8" t="str">
        <f>"国企改革"</f>
        <v>国企改革</v>
      </c>
      <c r="F445" s="8">
        <v>1.044</v>
      </c>
      <c r="G445" s="8">
        <v>110560</v>
      </c>
      <c r="H445" s="8">
        <v>115424.64</v>
      </c>
      <c r="I445" s="11">
        <v>114847.52</v>
      </c>
      <c r="J445" s="8">
        <v>115529.19</v>
      </c>
      <c r="K445" s="8">
        <v>0</v>
      </c>
    </row>
    <row r="446" spans="1:11">
      <c r="A446" s="8" t="str">
        <f t="shared" ref="A446:A448" si="296">"20150909"</f>
        <v>20150909</v>
      </c>
      <c r="B446" s="8" t="str">
        <f t="shared" ref="B446:B448" si="297">"20150909"</f>
        <v>20150909</v>
      </c>
      <c r="C446" s="8" t="str">
        <f t="shared" ref="C446:C448" si="298">"证券买入"</f>
        <v>证券买入</v>
      </c>
      <c r="D446" s="8" t="str">
        <f t="shared" ref="D446:D453" si="299">"600219"</f>
        <v>600219</v>
      </c>
      <c r="E446" s="8" t="str">
        <f t="shared" ref="E446:E453" si="300">"南山铝业"</f>
        <v>南山铝业</v>
      </c>
      <c r="F446" s="8">
        <v>6.84</v>
      </c>
      <c r="G446" s="8">
        <v>5000</v>
      </c>
      <c r="H446" s="8">
        <v>34200</v>
      </c>
      <c r="I446" s="11">
        <v>-34211.28</v>
      </c>
      <c r="J446" s="8">
        <v>81317.91</v>
      </c>
      <c r="K446" s="8">
        <v>10000</v>
      </c>
    </row>
    <row r="447" spans="1:11">
      <c r="A447" s="8" t="str">
        <f t="shared" si="296"/>
        <v>20150909</v>
      </c>
      <c r="B447" s="8" t="str">
        <f t="shared" si="297"/>
        <v>20150909</v>
      </c>
      <c r="C447" s="8" t="str">
        <f t="shared" si="298"/>
        <v>证券买入</v>
      </c>
      <c r="D447" s="8" t="str">
        <f>"002197"</f>
        <v>002197</v>
      </c>
      <c r="E447" s="8" t="str">
        <f>"证通电子"</f>
        <v>证通电子</v>
      </c>
      <c r="F447" s="8">
        <v>16.22</v>
      </c>
      <c r="G447" s="8">
        <v>500</v>
      </c>
      <c r="H447" s="8">
        <v>8110</v>
      </c>
      <c r="I447" s="11">
        <v>-8115</v>
      </c>
      <c r="J447" s="8">
        <v>73202.91</v>
      </c>
      <c r="K447" s="8">
        <v>1000</v>
      </c>
    </row>
    <row r="448" spans="1:11">
      <c r="A448" s="8" t="str">
        <f t="shared" si="296"/>
        <v>20150909</v>
      </c>
      <c r="B448" s="8" t="str">
        <f t="shared" si="297"/>
        <v>20150909</v>
      </c>
      <c r="C448" s="8" t="str">
        <f t="shared" si="298"/>
        <v>证券买入</v>
      </c>
      <c r="D448" s="8" t="str">
        <f>"510300"</f>
        <v>510300</v>
      </c>
      <c r="E448" s="8" t="str">
        <f>"300ETF"</f>
        <v>300ETF</v>
      </c>
      <c r="F448" s="8">
        <v>3.442</v>
      </c>
      <c r="G448" s="8">
        <v>20000</v>
      </c>
      <c r="H448" s="8">
        <v>68840</v>
      </c>
      <c r="I448" s="11">
        <v>-68861.34</v>
      </c>
      <c r="J448" s="8">
        <v>4341.57</v>
      </c>
      <c r="K448" s="8">
        <v>22000</v>
      </c>
    </row>
    <row r="449" spans="1:11">
      <c r="A449" s="8" t="str">
        <f>"20150911"</f>
        <v>20150911</v>
      </c>
      <c r="B449" s="8" t="str">
        <f>"20150911"</f>
        <v>20150911</v>
      </c>
      <c r="C449" s="8" t="str">
        <f t="shared" ref="C449:C452" si="301">"证券卖出"</f>
        <v>证券卖出</v>
      </c>
      <c r="D449" s="8" t="str">
        <f>"002197"</f>
        <v>002197</v>
      </c>
      <c r="E449" s="8" t="str">
        <f>"证通电子"</f>
        <v>证通电子</v>
      </c>
      <c r="F449" s="8">
        <v>16.2</v>
      </c>
      <c r="G449" s="8">
        <v>500</v>
      </c>
      <c r="H449" s="8">
        <v>8100</v>
      </c>
      <c r="I449" s="11">
        <v>8086.9</v>
      </c>
      <c r="J449" s="8">
        <v>12428.47</v>
      </c>
      <c r="K449" s="8">
        <v>500</v>
      </c>
    </row>
    <row r="450" spans="1:11">
      <c r="A450" s="8" t="str">
        <f t="shared" ref="A450:A453" si="302">"20150917"</f>
        <v>20150917</v>
      </c>
      <c r="B450" s="8" t="str">
        <f t="shared" ref="B450:B453" si="303">"20150917"</f>
        <v>20150917</v>
      </c>
      <c r="C450" s="8" t="str">
        <f t="shared" si="301"/>
        <v>证券卖出</v>
      </c>
      <c r="D450" s="8" t="str">
        <f t="shared" si="299"/>
        <v>600219</v>
      </c>
      <c r="E450" s="8" t="str">
        <f t="shared" si="300"/>
        <v>南山铝业</v>
      </c>
      <c r="F450" s="8">
        <v>6.68</v>
      </c>
      <c r="G450" s="8">
        <v>2000</v>
      </c>
      <c r="H450" s="8">
        <v>13360</v>
      </c>
      <c r="I450" s="11">
        <v>13341.38</v>
      </c>
      <c r="J450" s="8">
        <v>25769.85</v>
      </c>
      <c r="K450" s="8">
        <v>8000</v>
      </c>
    </row>
    <row r="451" spans="1:11">
      <c r="A451" s="8" t="str">
        <f t="shared" si="302"/>
        <v>20150917</v>
      </c>
      <c r="B451" s="8" t="str">
        <f t="shared" si="303"/>
        <v>20150917</v>
      </c>
      <c r="C451" s="8" t="str">
        <f t="shared" si="301"/>
        <v>证券卖出</v>
      </c>
      <c r="D451" s="8" t="str">
        <f t="shared" si="299"/>
        <v>600219</v>
      </c>
      <c r="E451" s="8" t="str">
        <f t="shared" si="300"/>
        <v>南山铝业</v>
      </c>
      <c r="F451" s="8">
        <v>6.92</v>
      </c>
      <c r="G451" s="8">
        <v>1000</v>
      </c>
      <c r="H451" s="8">
        <v>6920</v>
      </c>
      <c r="I451" s="11">
        <v>6907.94</v>
      </c>
      <c r="J451" s="8">
        <v>32677.79</v>
      </c>
      <c r="K451" s="8">
        <v>7000</v>
      </c>
    </row>
    <row r="452" spans="1:11">
      <c r="A452" s="8" t="str">
        <f t="shared" si="302"/>
        <v>20150917</v>
      </c>
      <c r="B452" s="8" t="str">
        <f t="shared" si="303"/>
        <v>20150917</v>
      </c>
      <c r="C452" s="8" t="str">
        <f t="shared" si="301"/>
        <v>证券卖出</v>
      </c>
      <c r="D452" s="8" t="str">
        <f t="shared" si="299"/>
        <v>600219</v>
      </c>
      <c r="E452" s="8" t="str">
        <f t="shared" si="300"/>
        <v>南山铝业</v>
      </c>
      <c r="F452" s="8">
        <v>7.18</v>
      </c>
      <c r="G452" s="8">
        <v>1000</v>
      </c>
      <c r="H452" s="8">
        <v>7180</v>
      </c>
      <c r="I452" s="11">
        <v>7167.68</v>
      </c>
      <c r="J452" s="8">
        <v>39845.47</v>
      </c>
      <c r="K452" s="8">
        <v>6000</v>
      </c>
    </row>
    <row r="453" spans="1:11">
      <c r="A453" s="8" t="str">
        <f t="shared" si="302"/>
        <v>20150917</v>
      </c>
      <c r="B453" s="8" t="str">
        <f t="shared" si="303"/>
        <v>20150917</v>
      </c>
      <c r="C453" s="8" t="str">
        <f>"证券买入"</f>
        <v>证券买入</v>
      </c>
      <c r="D453" s="8" t="str">
        <f t="shared" si="299"/>
        <v>600219</v>
      </c>
      <c r="E453" s="8" t="str">
        <f t="shared" si="300"/>
        <v>南山铝业</v>
      </c>
      <c r="F453" s="8">
        <v>7.1</v>
      </c>
      <c r="G453" s="8">
        <v>1000</v>
      </c>
      <c r="H453" s="8">
        <v>7100</v>
      </c>
      <c r="I453" s="11">
        <v>-7105.14</v>
      </c>
      <c r="J453" s="8">
        <v>32740.33</v>
      </c>
      <c r="K453" s="8">
        <v>7000</v>
      </c>
    </row>
    <row r="454" spans="1:11">
      <c r="A454" s="8" t="str">
        <f>"20150921"</f>
        <v>20150921</v>
      </c>
      <c r="B454" s="8" t="str">
        <f>"20150921"</f>
        <v>20150921</v>
      </c>
      <c r="C454" s="8" t="str">
        <f>"利息归本"</f>
        <v>利息归本</v>
      </c>
      <c r="D454" s="8"/>
      <c r="E454" s="8"/>
      <c r="F454" s="8">
        <v>0</v>
      </c>
      <c r="G454" s="8">
        <v>0</v>
      </c>
      <c r="H454" s="8">
        <v>0</v>
      </c>
      <c r="I454" s="11">
        <v>34.14</v>
      </c>
      <c r="J454" s="8">
        <v>32774.47</v>
      </c>
      <c r="K454" s="8">
        <v>0</v>
      </c>
    </row>
    <row r="455" spans="1:11">
      <c r="A455" s="8" t="str">
        <f>"20150923"</f>
        <v>20150923</v>
      </c>
      <c r="B455" s="8" t="str">
        <f>"20150923"</f>
        <v>20150923</v>
      </c>
      <c r="C455" s="8" t="str">
        <f t="shared" ref="C455:C460" si="304">"证券卖出"</f>
        <v>证券卖出</v>
      </c>
      <c r="D455" s="8" t="str">
        <f t="shared" ref="D455:D459" si="305">"510300"</f>
        <v>510300</v>
      </c>
      <c r="E455" s="8" t="str">
        <f t="shared" ref="E455:E459" si="306">"300ETF"</f>
        <v>300ETF</v>
      </c>
      <c r="F455" s="8">
        <v>3.315</v>
      </c>
      <c r="G455" s="8">
        <v>20000</v>
      </c>
      <c r="H455" s="8">
        <v>66300</v>
      </c>
      <c r="I455" s="11">
        <v>66279.45</v>
      </c>
      <c r="J455" s="8">
        <v>99053.92</v>
      </c>
      <c r="K455" s="8">
        <v>2000</v>
      </c>
    </row>
    <row r="456" spans="1:11">
      <c r="A456" s="8" t="str">
        <f>"20150924"</f>
        <v>20150924</v>
      </c>
      <c r="B456" s="8" t="str">
        <f>"20150924"</f>
        <v>20150924</v>
      </c>
      <c r="C456" s="8" t="str">
        <f>"证券转银行"</f>
        <v>证券转银行</v>
      </c>
      <c r="D456" s="8"/>
      <c r="E456" s="8"/>
      <c r="F456" s="8">
        <v>0</v>
      </c>
      <c r="G456" s="8">
        <v>0</v>
      </c>
      <c r="H456" s="8">
        <v>0</v>
      </c>
      <c r="I456" s="11">
        <v>-90000</v>
      </c>
      <c r="J456" s="8">
        <v>9053.92</v>
      </c>
      <c r="K456" s="8">
        <v>0</v>
      </c>
    </row>
    <row r="457" spans="1:11">
      <c r="A457" s="8" t="str">
        <f>"20150930"</f>
        <v>20150930</v>
      </c>
      <c r="B457" s="8" t="str">
        <f>"20150930"</f>
        <v>20150930</v>
      </c>
      <c r="C457" s="8" t="str">
        <f>"证券买入"</f>
        <v>证券买入</v>
      </c>
      <c r="D457" s="8" t="str">
        <f t="shared" si="305"/>
        <v>510300</v>
      </c>
      <c r="E457" s="8" t="str">
        <f t="shared" si="306"/>
        <v>300ETF</v>
      </c>
      <c r="F457" s="8">
        <v>3.225</v>
      </c>
      <c r="G457" s="8">
        <v>2500</v>
      </c>
      <c r="H457" s="8">
        <v>8062.5</v>
      </c>
      <c r="I457" s="11">
        <v>-8067.5</v>
      </c>
      <c r="J457" s="8">
        <v>986.42</v>
      </c>
      <c r="K457" s="8">
        <v>4500</v>
      </c>
    </row>
    <row r="458" spans="1:11">
      <c r="A458" s="8" t="str">
        <f>"20151008"</f>
        <v>20151008</v>
      </c>
      <c r="B458" s="8" t="str">
        <f>"20151008"</f>
        <v>20151008</v>
      </c>
      <c r="C458" s="8" t="str">
        <f t="shared" si="304"/>
        <v>证券卖出</v>
      </c>
      <c r="D458" s="8" t="str">
        <f t="shared" si="305"/>
        <v>510300</v>
      </c>
      <c r="E458" s="8" t="str">
        <f t="shared" si="306"/>
        <v>300ETF</v>
      </c>
      <c r="F458" s="8">
        <v>3.34</v>
      </c>
      <c r="G458" s="8">
        <v>2000</v>
      </c>
      <c r="H458" s="8">
        <v>6680</v>
      </c>
      <c r="I458" s="11">
        <v>6675</v>
      </c>
      <c r="J458" s="8">
        <v>7661.42</v>
      </c>
      <c r="K458" s="8">
        <v>2500</v>
      </c>
    </row>
    <row r="459" spans="1:11">
      <c r="A459" s="8" t="str">
        <f>"20151012"</f>
        <v>20151012</v>
      </c>
      <c r="B459" s="8" t="str">
        <f>"20151012"</f>
        <v>20151012</v>
      </c>
      <c r="C459" s="8" t="str">
        <f t="shared" si="304"/>
        <v>证券卖出</v>
      </c>
      <c r="D459" s="8" t="str">
        <f t="shared" si="305"/>
        <v>510300</v>
      </c>
      <c r="E459" s="8" t="str">
        <f t="shared" si="306"/>
        <v>300ETF</v>
      </c>
      <c r="F459" s="8">
        <v>3.441</v>
      </c>
      <c r="G459" s="8">
        <v>500</v>
      </c>
      <c r="H459" s="8">
        <v>1720.5</v>
      </c>
      <c r="I459" s="11">
        <v>1715.5</v>
      </c>
      <c r="J459" s="8">
        <v>9376.92</v>
      </c>
      <c r="K459" s="8">
        <v>2000</v>
      </c>
    </row>
    <row r="460" spans="1:11">
      <c r="A460" s="8" t="str">
        <f>"20151110"</f>
        <v>20151110</v>
      </c>
      <c r="B460" s="8" t="str">
        <f>"20151110"</f>
        <v>20151110</v>
      </c>
      <c r="C460" s="8" t="str">
        <f t="shared" si="304"/>
        <v>证券卖出</v>
      </c>
      <c r="D460" s="8" t="str">
        <f t="shared" ref="D460:D462" si="307">"002197"</f>
        <v>002197</v>
      </c>
      <c r="E460" s="8" t="str">
        <f t="shared" ref="E460:E462" si="308">"证通电子"</f>
        <v>证通电子</v>
      </c>
      <c r="F460" s="8">
        <v>30</v>
      </c>
      <c r="G460" s="8">
        <v>500</v>
      </c>
      <c r="H460" s="8">
        <v>15000</v>
      </c>
      <c r="I460" s="11">
        <v>14980</v>
      </c>
      <c r="J460" s="8">
        <v>24356.92</v>
      </c>
      <c r="K460" s="8">
        <v>0</v>
      </c>
    </row>
    <row r="461" spans="1:11">
      <c r="A461" s="8" t="str">
        <f>"20151209"</f>
        <v>20151209</v>
      </c>
      <c r="B461" s="8" t="str">
        <f>"20151209"</f>
        <v>20151209</v>
      </c>
      <c r="C461" s="8" t="str">
        <f>"证券买入"</f>
        <v>证券买入</v>
      </c>
      <c r="D461" s="8" t="str">
        <f t="shared" si="307"/>
        <v>002197</v>
      </c>
      <c r="E461" s="8" t="str">
        <f t="shared" si="308"/>
        <v>证通电子</v>
      </c>
      <c r="F461" s="8">
        <v>24.08</v>
      </c>
      <c r="G461" s="8">
        <v>500</v>
      </c>
      <c r="H461" s="8">
        <v>12040</v>
      </c>
      <c r="I461" s="11">
        <v>-12045</v>
      </c>
      <c r="J461" s="8">
        <v>12311.92</v>
      </c>
      <c r="K461" s="8">
        <v>500</v>
      </c>
    </row>
    <row r="462" spans="1:11">
      <c r="A462" s="8" t="str">
        <f>"20151210"</f>
        <v>20151210</v>
      </c>
      <c r="B462" s="8" t="str">
        <f>"20151210"</f>
        <v>20151210</v>
      </c>
      <c r="C462" s="8" t="str">
        <f>"证券卖出"</f>
        <v>证券卖出</v>
      </c>
      <c r="D462" s="8" t="str">
        <f t="shared" si="307"/>
        <v>002197</v>
      </c>
      <c r="E462" s="8" t="str">
        <f t="shared" si="308"/>
        <v>证通电子</v>
      </c>
      <c r="F462" s="8">
        <v>25.04</v>
      </c>
      <c r="G462" s="8">
        <v>500</v>
      </c>
      <c r="H462" s="8">
        <v>12520</v>
      </c>
      <c r="I462" s="11">
        <v>12502.48</v>
      </c>
      <c r="J462" s="8">
        <v>24814.4</v>
      </c>
      <c r="K462" s="8">
        <v>0</v>
      </c>
    </row>
    <row r="463" spans="1:11">
      <c r="A463" s="8" t="str">
        <f>"20151216"</f>
        <v>20151216</v>
      </c>
      <c r="B463" s="8" t="str">
        <f t="shared" ref="B463:B465" si="309">"20151216"</f>
        <v>20151216</v>
      </c>
      <c r="C463" s="8" t="str">
        <f>"开放基金合并减股"</f>
        <v>开放基金合并减股</v>
      </c>
      <c r="D463" s="8" t="str">
        <f>"161024"</f>
        <v>161024</v>
      </c>
      <c r="E463" s="8" t="str">
        <f>"军工分级"</f>
        <v>军工分级</v>
      </c>
      <c r="F463" s="8">
        <v>0</v>
      </c>
      <c r="G463" s="8">
        <v>3219</v>
      </c>
      <c r="H463" s="8">
        <v>0</v>
      </c>
      <c r="I463" s="11">
        <v>0</v>
      </c>
      <c r="J463" s="8">
        <v>24814.4</v>
      </c>
      <c r="K463" s="8">
        <v>0</v>
      </c>
    </row>
    <row r="464" spans="1:11">
      <c r="A464" s="8" t="str">
        <f>"20151216"</f>
        <v>20151216</v>
      </c>
      <c r="B464" s="8" t="str">
        <f t="shared" si="309"/>
        <v>20151216</v>
      </c>
      <c r="C464" s="8" t="str">
        <f>"开放基金拆分增股"</f>
        <v>开放基金拆分增股</v>
      </c>
      <c r="D464" s="8" t="str">
        <f>"161024"</f>
        <v>161024</v>
      </c>
      <c r="E464" s="8" t="str">
        <f>"军工分级"</f>
        <v>军工分级</v>
      </c>
      <c r="F464" s="8">
        <v>0</v>
      </c>
      <c r="G464" s="8">
        <v>3285</v>
      </c>
      <c r="H464" s="8">
        <v>0</v>
      </c>
      <c r="I464" s="11">
        <v>0</v>
      </c>
      <c r="J464" s="8">
        <v>24814.4</v>
      </c>
      <c r="K464" s="8">
        <v>3285</v>
      </c>
    </row>
    <row r="465" spans="1:11">
      <c r="A465" s="8" t="str">
        <f>"20151218"</f>
        <v>20151218</v>
      </c>
      <c r="B465" s="8" t="str">
        <f t="shared" si="309"/>
        <v>20151216</v>
      </c>
      <c r="C465" s="8" t="str">
        <f>"开放基金申购"</f>
        <v>开放基金申购</v>
      </c>
      <c r="D465" s="8" t="str">
        <f>"162411"</f>
        <v>162411</v>
      </c>
      <c r="E465" s="8" t="str">
        <f>"华宝油气"</f>
        <v>华宝油气</v>
      </c>
      <c r="F465" s="8">
        <v>0.499</v>
      </c>
      <c r="G465" s="8">
        <v>9871</v>
      </c>
      <c r="H465" s="8">
        <v>4925.63</v>
      </c>
      <c r="I465" s="11">
        <v>-4999.52</v>
      </c>
      <c r="J465" s="8">
        <v>19814.88</v>
      </c>
      <c r="K465" s="8">
        <v>9871</v>
      </c>
    </row>
    <row r="466" spans="1:11">
      <c r="A466" s="8" t="str">
        <f>"20151221"</f>
        <v>20151221</v>
      </c>
      <c r="B466" s="8" t="str">
        <f>"20151221"</f>
        <v>20151221</v>
      </c>
      <c r="C466" s="8" t="str">
        <f>"利息归本"</f>
        <v>利息归本</v>
      </c>
      <c r="D466" s="8"/>
      <c r="E466" s="8"/>
      <c r="F466" s="8">
        <v>0</v>
      </c>
      <c r="G466" s="8">
        <v>0</v>
      </c>
      <c r="H466" s="8">
        <v>0</v>
      </c>
      <c r="I466" s="11">
        <v>14.45</v>
      </c>
      <c r="J466" s="8">
        <v>19829.33</v>
      </c>
      <c r="K466" s="8">
        <v>0</v>
      </c>
    </row>
    <row r="467" spans="1:11">
      <c r="A467" s="8" t="str">
        <f>"20160104"</f>
        <v>20160104</v>
      </c>
      <c r="B467" s="8" t="str">
        <f t="shared" ref="B467:B469" si="310">"20160104"</f>
        <v>20160104</v>
      </c>
      <c r="C467" s="8" t="str">
        <f t="shared" ref="C467:C472" si="311">"证券买入"</f>
        <v>证券买入</v>
      </c>
      <c r="D467" s="8" t="str">
        <f>"511990"</f>
        <v>511990</v>
      </c>
      <c r="E467" s="8" t="str">
        <f>"华宝添益"</f>
        <v>华宝添益</v>
      </c>
      <c r="F467" s="8">
        <v>99.981</v>
      </c>
      <c r="G467" s="8">
        <v>100</v>
      </c>
      <c r="H467" s="8">
        <v>9998.1</v>
      </c>
      <c r="I467" s="11">
        <v>-9998.1</v>
      </c>
      <c r="J467" s="8">
        <v>9831.23</v>
      </c>
      <c r="K467" s="8">
        <v>100</v>
      </c>
    </row>
    <row r="468" spans="1:11">
      <c r="A468" s="8" t="str">
        <f>"20160105"</f>
        <v>20160105</v>
      </c>
      <c r="B468" s="8" t="str">
        <f t="shared" si="310"/>
        <v>20160104</v>
      </c>
      <c r="C468" s="8" t="str">
        <f>"ETF 基金赎回"</f>
        <v>ETF 基金赎回</v>
      </c>
      <c r="D468" s="8" t="str">
        <f>"511991"</f>
        <v>511991</v>
      </c>
      <c r="E468" s="8" t="str">
        <f>"添益申赎"</f>
        <v>添益申赎</v>
      </c>
      <c r="F468" s="8">
        <v>0</v>
      </c>
      <c r="G468" s="8">
        <v>100</v>
      </c>
      <c r="H468" s="8">
        <v>0</v>
      </c>
      <c r="I468" s="11">
        <v>0</v>
      </c>
      <c r="J468" s="8">
        <v>9831.23</v>
      </c>
      <c r="K468" s="8">
        <v>0</v>
      </c>
    </row>
    <row r="469" spans="1:11">
      <c r="A469" s="8" t="str">
        <f>"20160105"</f>
        <v>20160105</v>
      </c>
      <c r="B469" s="8" t="str">
        <f t="shared" si="310"/>
        <v>20160104</v>
      </c>
      <c r="C469" s="8" t="str">
        <f>"ETF 申购退款"</f>
        <v>ETF 申购退款</v>
      </c>
      <c r="D469" s="8" t="str">
        <f>"511990"</f>
        <v>511990</v>
      </c>
      <c r="E469" s="8" t="str">
        <f>"华宝添益"</f>
        <v>华宝添益</v>
      </c>
      <c r="F469" s="8">
        <v>0</v>
      </c>
      <c r="G469" s="8">
        <v>0</v>
      </c>
      <c r="H469" s="8">
        <v>10000.7</v>
      </c>
      <c r="I469" s="11">
        <v>10000.7</v>
      </c>
      <c r="J469" s="8">
        <v>19831.93</v>
      </c>
      <c r="K469" s="8">
        <v>0</v>
      </c>
    </row>
    <row r="470" spans="1:11">
      <c r="A470" s="8" t="str">
        <f>"20160112"</f>
        <v>20160112</v>
      </c>
      <c r="B470" s="8" t="str">
        <f>"20160112"</f>
        <v>20160112</v>
      </c>
      <c r="C470" s="8" t="str">
        <f t="shared" si="311"/>
        <v>证券买入</v>
      </c>
      <c r="D470" s="8" t="str">
        <f>"162411"</f>
        <v>162411</v>
      </c>
      <c r="E470" s="8" t="str">
        <f>"华宝油气"</f>
        <v>华宝油气</v>
      </c>
      <c r="F470" s="8">
        <v>0.453</v>
      </c>
      <c r="G470" s="8">
        <v>10000</v>
      </c>
      <c r="H470" s="8">
        <v>4530</v>
      </c>
      <c r="I470" s="11">
        <v>-4535</v>
      </c>
      <c r="J470" s="8">
        <v>15296.93</v>
      </c>
      <c r="K470" s="8">
        <v>19871</v>
      </c>
    </row>
    <row r="471" spans="1:11">
      <c r="A471" s="8" t="str">
        <f>"20160122"</f>
        <v>20160122</v>
      </c>
      <c r="B471" s="8" t="str">
        <f>"20160122"</f>
        <v>20160122</v>
      </c>
      <c r="C471" s="8" t="str">
        <f>"红利入账"</f>
        <v>红利入账</v>
      </c>
      <c r="D471" s="8" t="str">
        <f t="shared" ref="D471:D477" si="312">"510300"</f>
        <v>510300</v>
      </c>
      <c r="E471" s="8" t="str">
        <f t="shared" ref="E471:E477" si="313">"300ETF"</f>
        <v>300ETF</v>
      </c>
      <c r="F471" s="8">
        <v>0</v>
      </c>
      <c r="G471" s="8">
        <v>2000</v>
      </c>
      <c r="H471" s="8">
        <v>102</v>
      </c>
      <c r="I471" s="11">
        <v>102</v>
      </c>
      <c r="J471" s="8">
        <v>15398.93</v>
      </c>
      <c r="K471" s="8">
        <v>0</v>
      </c>
    </row>
    <row r="472" spans="1:11">
      <c r="A472" s="8" t="str">
        <f>"20160127"</f>
        <v>20160127</v>
      </c>
      <c r="B472" s="8" t="str">
        <f>"20160127"</f>
        <v>20160127</v>
      </c>
      <c r="C472" s="8" t="str">
        <f t="shared" si="311"/>
        <v>证券买入</v>
      </c>
      <c r="D472" s="8" t="str">
        <f t="shared" si="312"/>
        <v>510300</v>
      </c>
      <c r="E472" s="8" t="str">
        <f t="shared" si="313"/>
        <v>300ETF</v>
      </c>
      <c r="F472" s="8">
        <v>2.923</v>
      </c>
      <c r="G472" s="8">
        <v>2000</v>
      </c>
      <c r="H472" s="8">
        <v>5846</v>
      </c>
      <c r="I472" s="11">
        <v>-5851</v>
      </c>
      <c r="J472" s="8">
        <v>9547.93</v>
      </c>
      <c r="K472" s="8">
        <v>4000</v>
      </c>
    </row>
    <row r="473" spans="1:11">
      <c r="A473" s="8" t="str">
        <f>"20160201"</f>
        <v>20160201</v>
      </c>
      <c r="B473" s="8" t="str">
        <f>"20160201"</f>
        <v>20160201</v>
      </c>
      <c r="C473" s="8" t="str">
        <f>"基金下折"</f>
        <v>基金下折</v>
      </c>
      <c r="D473" s="8" t="str">
        <f>"161024"</f>
        <v>161024</v>
      </c>
      <c r="E473" s="8" t="str">
        <f>"军工分级"</f>
        <v>军工分级</v>
      </c>
      <c r="F473" s="8">
        <v>0</v>
      </c>
      <c r="G473" s="8">
        <v>3285</v>
      </c>
      <c r="H473" s="8">
        <v>0</v>
      </c>
      <c r="I473" s="11">
        <v>0</v>
      </c>
      <c r="J473" s="8">
        <v>9547.93</v>
      </c>
      <c r="K473" s="8">
        <v>0</v>
      </c>
    </row>
    <row r="474" spans="1:11">
      <c r="A474" s="8" t="str">
        <f>"20160201"</f>
        <v>20160201</v>
      </c>
      <c r="B474" s="8" t="str">
        <f>"20160201"</f>
        <v>20160201</v>
      </c>
      <c r="C474" s="8" t="str">
        <f>"基金上折"</f>
        <v>基金上折</v>
      </c>
      <c r="D474" s="8" t="str">
        <f>"161024"</f>
        <v>161024</v>
      </c>
      <c r="E474" s="8" t="str">
        <f>"军工分级"</f>
        <v>军工分级</v>
      </c>
      <c r="F474" s="8">
        <v>0</v>
      </c>
      <c r="G474" s="8">
        <v>2082</v>
      </c>
      <c r="H474" s="8">
        <v>0</v>
      </c>
      <c r="I474" s="11">
        <v>0</v>
      </c>
      <c r="J474" s="8">
        <v>9547.93</v>
      </c>
      <c r="K474" s="8">
        <v>2082</v>
      </c>
    </row>
    <row r="475" spans="1:11">
      <c r="A475" s="8" t="str">
        <f>"20160204"</f>
        <v>20160204</v>
      </c>
      <c r="B475" s="8" t="str">
        <f>"20160204"</f>
        <v>20160204</v>
      </c>
      <c r="C475" s="8" t="str">
        <f t="shared" ref="C475:C481" si="314">"证券买入"</f>
        <v>证券买入</v>
      </c>
      <c r="D475" s="8" t="str">
        <f>"600219"</f>
        <v>600219</v>
      </c>
      <c r="E475" s="8" t="str">
        <f>"南山铝业"</f>
        <v>南山铝业</v>
      </c>
      <c r="F475" s="8">
        <v>5.89</v>
      </c>
      <c r="G475" s="8">
        <v>1500</v>
      </c>
      <c r="H475" s="8">
        <v>8835</v>
      </c>
      <c r="I475" s="11">
        <v>-8840.18</v>
      </c>
      <c r="J475" s="8">
        <v>707.75</v>
      </c>
      <c r="K475" s="8">
        <v>8500</v>
      </c>
    </row>
    <row r="476" spans="1:11">
      <c r="A476" s="8" t="str">
        <f>"20160225"</f>
        <v>20160225</v>
      </c>
      <c r="B476" s="8" t="str">
        <f>"20160225"</f>
        <v>20160225</v>
      </c>
      <c r="C476" s="8" t="str">
        <f t="shared" ref="C476:C479" si="315">"证券卖出"</f>
        <v>证券卖出</v>
      </c>
      <c r="D476" s="8" t="str">
        <f t="shared" si="312"/>
        <v>510300</v>
      </c>
      <c r="E476" s="8" t="str">
        <f t="shared" si="313"/>
        <v>300ETF</v>
      </c>
      <c r="F476" s="8">
        <v>3.063</v>
      </c>
      <c r="G476" s="8">
        <v>2000</v>
      </c>
      <c r="H476" s="8">
        <v>6126</v>
      </c>
      <c r="I476" s="11">
        <v>6121</v>
      </c>
      <c r="J476" s="8">
        <v>6828.75</v>
      </c>
      <c r="K476" s="8">
        <v>2000</v>
      </c>
    </row>
    <row r="477" spans="1:11">
      <c r="A477" s="8" t="str">
        <f>"20160226"</f>
        <v>20160226</v>
      </c>
      <c r="B477" s="8" t="str">
        <f>"20160226"</f>
        <v>20160226</v>
      </c>
      <c r="C477" s="8" t="str">
        <f t="shared" si="314"/>
        <v>证券买入</v>
      </c>
      <c r="D477" s="8" t="str">
        <f t="shared" si="312"/>
        <v>510300</v>
      </c>
      <c r="E477" s="8" t="str">
        <f t="shared" si="313"/>
        <v>300ETF</v>
      </c>
      <c r="F477" s="8">
        <v>2.933</v>
      </c>
      <c r="G477" s="8">
        <v>2000</v>
      </c>
      <c r="H477" s="8">
        <v>5866</v>
      </c>
      <c r="I477" s="11">
        <v>-5871</v>
      </c>
      <c r="J477" s="8">
        <v>957.75</v>
      </c>
      <c r="K477" s="8">
        <v>4000</v>
      </c>
    </row>
    <row r="478" spans="1:11">
      <c r="A478" s="8" t="str">
        <f>"20160303"</f>
        <v>20160303</v>
      </c>
      <c r="B478" s="8" t="str">
        <f>"20160303"</f>
        <v>20160303</v>
      </c>
      <c r="C478" s="8" t="str">
        <f t="shared" si="315"/>
        <v>证券卖出</v>
      </c>
      <c r="D478" s="8" t="str">
        <f t="shared" ref="D478:D483" si="316">"600219"</f>
        <v>600219</v>
      </c>
      <c r="E478" s="8" t="str">
        <f t="shared" ref="E478:E483" si="317">"南山铝业"</f>
        <v>南山铝业</v>
      </c>
      <c r="F478" s="8">
        <v>7.59</v>
      </c>
      <c r="G478" s="8">
        <v>1500</v>
      </c>
      <c r="H478" s="8">
        <v>11385</v>
      </c>
      <c r="I478" s="11">
        <v>11368.35</v>
      </c>
      <c r="J478" s="8">
        <v>12326.1</v>
      </c>
      <c r="K478" s="8">
        <v>7000</v>
      </c>
    </row>
    <row r="479" spans="1:11">
      <c r="A479" s="8" t="str">
        <f>"20160303"</f>
        <v>20160303</v>
      </c>
      <c r="B479" s="8" t="str">
        <f>"20160303"</f>
        <v>20160303</v>
      </c>
      <c r="C479" s="8" t="str">
        <f t="shared" si="315"/>
        <v>证券卖出</v>
      </c>
      <c r="D479" s="8" t="str">
        <f t="shared" ref="D479:D484" si="318">"510300"</f>
        <v>510300</v>
      </c>
      <c r="E479" s="8" t="str">
        <f t="shared" ref="E479:E484" si="319">"300ETF"</f>
        <v>300ETF</v>
      </c>
      <c r="F479" s="8">
        <v>3.042</v>
      </c>
      <c r="G479" s="8">
        <v>2000</v>
      </c>
      <c r="H479" s="8">
        <v>6084</v>
      </c>
      <c r="I479" s="11">
        <v>6079</v>
      </c>
      <c r="J479" s="8">
        <v>18405.1</v>
      </c>
      <c r="K479" s="8">
        <v>2000</v>
      </c>
    </row>
    <row r="480" spans="1:11">
      <c r="A480" s="8" t="str">
        <f t="shared" ref="A480:A485" si="320">"20160304"</f>
        <v>20160304</v>
      </c>
      <c r="B480" s="8" t="str">
        <f t="shared" ref="B480:B485" si="321">"20160304"</f>
        <v>20160304</v>
      </c>
      <c r="C480" s="8" t="str">
        <f t="shared" si="314"/>
        <v>证券买入</v>
      </c>
      <c r="D480" s="8" t="str">
        <f t="shared" si="318"/>
        <v>510300</v>
      </c>
      <c r="E480" s="8" t="str">
        <f t="shared" si="319"/>
        <v>300ETF</v>
      </c>
      <c r="F480" s="8">
        <v>3.066</v>
      </c>
      <c r="G480" s="8">
        <v>2000</v>
      </c>
      <c r="H480" s="8">
        <v>6132</v>
      </c>
      <c r="I480" s="11">
        <v>-6137</v>
      </c>
      <c r="J480" s="8">
        <v>12268.1</v>
      </c>
      <c r="K480" s="8">
        <v>4000</v>
      </c>
    </row>
    <row r="481" spans="1:11">
      <c r="A481" s="8" t="str">
        <f t="shared" si="320"/>
        <v>20160304</v>
      </c>
      <c r="B481" s="8" t="str">
        <f t="shared" si="321"/>
        <v>20160304</v>
      </c>
      <c r="C481" s="8" t="str">
        <f t="shared" si="314"/>
        <v>证券买入</v>
      </c>
      <c r="D481" s="8" t="str">
        <f t="shared" si="316"/>
        <v>600219</v>
      </c>
      <c r="E481" s="8" t="str">
        <f t="shared" si="317"/>
        <v>南山铝业</v>
      </c>
      <c r="F481" s="8">
        <v>7.31</v>
      </c>
      <c r="G481" s="8">
        <v>1500</v>
      </c>
      <c r="H481" s="8">
        <v>10965</v>
      </c>
      <c r="I481" s="11">
        <v>-10970.22</v>
      </c>
      <c r="J481" s="8">
        <v>1297.88</v>
      </c>
      <c r="K481" s="8">
        <v>8500</v>
      </c>
    </row>
    <row r="482" spans="1:11">
      <c r="A482" s="8" t="str">
        <f t="shared" si="320"/>
        <v>20160304</v>
      </c>
      <c r="B482" s="8" t="str">
        <f t="shared" si="321"/>
        <v>20160304</v>
      </c>
      <c r="C482" s="8" t="str">
        <f t="shared" ref="C482:C486" si="322">"证券卖出"</f>
        <v>证券卖出</v>
      </c>
      <c r="D482" s="8" t="str">
        <f t="shared" si="316"/>
        <v>600219</v>
      </c>
      <c r="E482" s="8" t="str">
        <f t="shared" si="317"/>
        <v>南山铝业</v>
      </c>
      <c r="F482" s="8">
        <v>7.26</v>
      </c>
      <c r="G482" s="8">
        <v>1500</v>
      </c>
      <c r="H482" s="8">
        <v>10890</v>
      </c>
      <c r="I482" s="11">
        <v>10873.89</v>
      </c>
      <c r="J482" s="8">
        <v>12171.77</v>
      </c>
      <c r="K482" s="8">
        <v>7000</v>
      </c>
    </row>
    <row r="483" spans="1:11">
      <c r="A483" s="8" t="str">
        <f t="shared" si="320"/>
        <v>20160304</v>
      </c>
      <c r="B483" s="8" t="str">
        <f t="shared" si="321"/>
        <v>20160304</v>
      </c>
      <c r="C483" s="8" t="str">
        <f>"证券买入"</f>
        <v>证券买入</v>
      </c>
      <c r="D483" s="8" t="str">
        <f t="shared" si="316"/>
        <v>600219</v>
      </c>
      <c r="E483" s="8" t="str">
        <f t="shared" si="317"/>
        <v>南山铝业</v>
      </c>
      <c r="F483" s="8">
        <v>7.13</v>
      </c>
      <c r="G483" s="8">
        <v>1500</v>
      </c>
      <c r="H483" s="8">
        <v>10695</v>
      </c>
      <c r="I483" s="11">
        <v>-10700.21</v>
      </c>
      <c r="J483" s="8">
        <v>1471.56</v>
      </c>
      <c r="K483" s="8">
        <v>8500</v>
      </c>
    </row>
    <row r="484" spans="1:11">
      <c r="A484" s="8" t="str">
        <f t="shared" si="320"/>
        <v>20160304</v>
      </c>
      <c r="B484" s="8" t="str">
        <f t="shared" si="321"/>
        <v>20160304</v>
      </c>
      <c r="C484" s="8" t="str">
        <f t="shared" si="322"/>
        <v>证券卖出</v>
      </c>
      <c r="D484" s="8" t="str">
        <f t="shared" si="318"/>
        <v>510300</v>
      </c>
      <c r="E484" s="8" t="str">
        <f t="shared" si="319"/>
        <v>300ETF</v>
      </c>
      <c r="F484" s="8">
        <v>3.076</v>
      </c>
      <c r="G484" s="8">
        <v>2000</v>
      </c>
      <c r="H484" s="8">
        <v>6152</v>
      </c>
      <c r="I484" s="11">
        <v>6147</v>
      </c>
      <c r="J484" s="8">
        <v>7618.56</v>
      </c>
      <c r="K484" s="8">
        <v>2000</v>
      </c>
    </row>
    <row r="485" spans="1:11">
      <c r="A485" s="8" t="str">
        <f t="shared" si="320"/>
        <v>20160304</v>
      </c>
      <c r="B485" s="8" t="str">
        <f t="shared" si="321"/>
        <v>20160304</v>
      </c>
      <c r="C485" s="8" t="str">
        <f t="shared" si="322"/>
        <v>证券卖出</v>
      </c>
      <c r="D485" s="8" t="str">
        <f t="shared" ref="D485:D491" si="323">"600219"</f>
        <v>600219</v>
      </c>
      <c r="E485" s="8" t="str">
        <f t="shared" ref="E485:E491" si="324">"南山铝业"</f>
        <v>南山铝业</v>
      </c>
      <c r="F485" s="8">
        <v>7.14</v>
      </c>
      <c r="G485" s="8">
        <v>1500</v>
      </c>
      <c r="H485" s="8">
        <v>10710</v>
      </c>
      <c r="I485" s="11">
        <v>10694.08</v>
      </c>
      <c r="J485" s="8">
        <v>18312.64</v>
      </c>
      <c r="K485" s="8">
        <v>7000</v>
      </c>
    </row>
    <row r="486" spans="1:11">
      <c r="A486" s="8" t="str">
        <f>"20160308"</f>
        <v>20160308</v>
      </c>
      <c r="B486" s="8" t="str">
        <f>"20160308"</f>
        <v>20160308</v>
      </c>
      <c r="C486" s="8" t="str">
        <f t="shared" si="322"/>
        <v>证券卖出</v>
      </c>
      <c r="D486" s="8" t="str">
        <f t="shared" si="323"/>
        <v>600219</v>
      </c>
      <c r="E486" s="8" t="str">
        <f t="shared" si="324"/>
        <v>南山铝业</v>
      </c>
      <c r="F486" s="8">
        <v>7.25</v>
      </c>
      <c r="G486" s="8">
        <v>1000</v>
      </c>
      <c r="H486" s="8">
        <v>7250</v>
      </c>
      <c r="I486" s="11">
        <v>7237.6</v>
      </c>
      <c r="J486" s="8">
        <v>25550.24</v>
      </c>
      <c r="K486" s="8">
        <v>6000</v>
      </c>
    </row>
    <row r="487" spans="1:11">
      <c r="A487" s="8" t="str">
        <f>"20160309"</f>
        <v>20160309</v>
      </c>
      <c r="B487" s="8" t="str">
        <f>"20160309"</f>
        <v>20160309</v>
      </c>
      <c r="C487" s="8" t="str">
        <f t="shared" ref="C487:C491" si="325">"证券买入"</f>
        <v>证券买入</v>
      </c>
      <c r="D487" s="8" t="str">
        <f t="shared" si="323"/>
        <v>600219</v>
      </c>
      <c r="E487" s="8" t="str">
        <f t="shared" si="324"/>
        <v>南山铝业</v>
      </c>
      <c r="F487" s="8">
        <v>6.8</v>
      </c>
      <c r="G487" s="8">
        <v>1000</v>
      </c>
      <c r="H487" s="8">
        <v>6800</v>
      </c>
      <c r="I487" s="11">
        <v>-6805.14</v>
      </c>
      <c r="J487" s="8">
        <v>18745.1</v>
      </c>
      <c r="K487" s="8">
        <v>7000</v>
      </c>
    </row>
    <row r="488" spans="1:11">
      <c r="A488" s="8" t="str">
        <f>"20160309"</f>
        <v>20160309</v>
      </c>
      <c r="B488" s="8" t="str">
        <f>"20160309"</f>
        <v>20160309</v>
      </c>
      <c r="C488" s="8" t="str">
        <f t="shared" ref="C488:C493" si="326">"证券卖出"</f>
        <v>证券卖出</v>
      </c>
      <c r="D488" s="8" t="str">
        <f t="shared" si="323"/>
        <v>600219</v>
      </c>
      <c r="E488" s="8" t="str">
        <f t="shared" si="324"/>
        <v>南山铝业</v>
      </c>
      <c r="F488" s="8">
        <v>6.77</v>
      </c>
      <c r="G488" s="8">
        <v>1000</v>
      </c>
      <c r="H488" s="8">
        <v>6770</v>
      </c>
      <c r="I488" s="11">
        <v>6758.09</v>
      </c>
      <c r="J488" s="8">
        <v>25503.19</v>
      </c>
      <c r="K488" s="8">
        <v>6000</v>
      </c>
    </row>
    <row r="489" spans="1:11">
      <c r="A489" s="8" t="str">
        <f t="shared" ref="A489:A491" si="327">"20160314"</f>
        <v>20160314</v>
      </c>
      <c r="B489" s="8" t="str">
        <f t="shared" ref="B489:B491" si="328">"20160314"</f>
        <v>20160314</v>
      </c>
      <c r="C489" s="8" t="str">
        <f t="shared" si="325"/>
        <v>证券买入</v>
      </c>
      <c r="D489" s="8" t="str">
        <f t="shared" si="323"/>
        <v>600219</v>
      </c>
      <c r="E489" s="8" t="str">
        <f t="shared" si="324"/>
        <v>南山铝业</v>
      </c>
      <c r="F489" s="8">
        <v>6.79</v>
      </c>
      <c r="G489" s="8">
        <v>1000</v>
      </c>
      <c r="H489" s="8">
        <v>6790</v>
      </c>
      <c r="I489" s="11">
        <v>-6795.14</v>
      </c>
      <c r="J489" s="8">
        <v>18708.05</v>
      </c>
      <c r="K489" s="8">
        <v>7000</v>
      </c>
    </row>
    <row r="490" spans="1:11">
      <c r="A490" s="8" t="str">
        <f t="shared" si="327"/>
        <v>20160314</v>
      </c>
      <c r="B490" s="8" t="str">
        <f t="shared" si="328"/>
        <v>20160314</v>
      </c>
      <c r="C490" s="8" t="str">
        <f t="shared" si="326"/>
        <v>证券卖出</v>
      </c>
      <c r="D490" s="8" t="str">
        <f t="shared" si="323"/>
        <v>600219</v>
      </c>
      <c r="E490" s="8" t="str">
        <f t="shared" si="324"/>
        <v>南山铝业</v>
      </c>
      <c r="F490" s="8">
        <v>6.82</v>
      </c>
      <c r="G490" s="8">
        <v>1000</v>
      </c>
      <c r="H490" s="8">
        <v>6820</v>
      </c>
      <c r="I490" s="11">
        <v>6808.04</v>
      </c>
      <c r="J490" s="8">
        <v>25516.09</v>
      </c>
      <c r="K490" s="8">
        <v>6000</v>
      </c>
    </row>
    <row r="491" spans="1:11">
      <c r="A491" s="8" t="str">
        <f t="shared" si="327"/>
        <v>20160314</v>
      </c>
      <c r="B491" s="8" t="str">
        <f t="shared" si="328"/>
        <v>20160314</v>
      </c>
      <c r="C491" s="8" t="str">
        <f t="shared" si="325"/>
        <v>证券买入</v>
      </c>
      <c r="D491" s="8" t="str">
        <f t="shared" si="323"/>
        <v>600219</v>
      </c>
      <c r="E491" s="8" t="str">
        <f t="shared" si="324"/>
        <v>南山铝业</v>
      </c>
      <c r="F491" s="8">
        <v>6.85</v>
      </c>
      <c r="G491" s="8">
        <v>2500</v>
      </c>
      <c r="H491" s="8">
        <v>17125</v>
      </c>
      <c r="I491" s="11">
        <v>-17130.65</v>
      </c>
      <c r="J491" s="8">
        <v>8385.44</v>
      </c>
      <c r="K491" s="8">
        <v>8500</v>
      </c>
    </row>
    <row r="492" spans="1:11">
      <c r="A492" s="8" t="str">
        <f>"20160321"</f>
        <v>20160321</v>
      </c>
      <c r="B492" s="8" t="str">
        <f>"20160321"</f>
        <v>20160321</v>
      </c>
      <c r="C492" s="8" t="str">
        <f>"利息归本"</f>
        <v>利息归本</v>
      </c>
      <c r="D492" s="8"/>
      <c r="E492" s="8"/>
      <c r="F492" s="8">
        <v>0</v>
      </c>
      <c r="G492" s="8">
        <v>0</v>
      </c>
      <c r="H492" s="8">
        <v>0</v>
      </c>
      <c r="I492" s="11">
        <v>10.39</v>
      </c>
      <c r="J492" s="8">
        <v>8395.83</v>
      </c>
      <c r="K492" s="8">
        <v>0</v>
      </c>
    </row>
    <row r="493" spans="1:11">
      <c r="A493" s="8" t="str">
        <f>"20160412"</f>
        <v>20160412</v>
      </c>
      <c r="B493" s="8" t="str">
        <f>"20160412"</f>
        <v>20160412</v>
      </c>
      <c r="C493" s="8" t="str">
        <f t="shared" si="326"/>
        <v>证券卖出</v>
      </c>
      <c r="D493" s="8" t="str">
        <f>"600219"</f>
        <v>600219</v>
      </c>
      <c r="E493" s="8" t="str">
        <f>"南山铝业"</f>
        <v>南山铝业</v>
      </c>
      <c r="F493" s="8">
        <v>7.25</v>
      </c>
      <c r="G493" s="8">
        <v>2500</v>
      </c>
      <c r="H493" s="8">
        <v>18125</v>
      </c>
      <c r="I493" s="11">
        <v>18100.89</v>
      </c>
      <c r="J493" s="8">
        <v>26496.72</v>
      </c>
      <c r="K493" s="8">
        <v>6000</v>
      </c>
    </row>
    <row r="494" spans="1:11">
      <c r="A494" s="8" t="str">
        <f>"20160414"</f>
        <v>20160414</v>
      </c>
      <c r="B494" s="8" t="str">
        <f>"20160414"</f>
        <v>20160414</v>
      </c>
      <c r="C494" s="8" t="str">
        <f t="shared" ref="C494:C498" si="329">"证券买入"</f>
        <v>证券买入</v>
      </c>
      <c r="D494" s="8" t="str">
        <f>"511990"</f>
        <v>511990</v>
      </c>
      <c r="E494" s="8" t="str">
        <f>"华宝添益"</f>
        <v>华宝添益</v>
      </c>
      <c r="F494" s="8">
        <v>99.989</v>
      </c>
      <c r="G494" s="8">
        <v>200</v>
      </c>
      <c r="H494" s="8">
        <v>19997.8</v>
      </c>
      <c r="I494" s="11">
        <v>-19997.8</v>
      </c>
      <c r="J494" s="8">
        <v>6498.92</v>
      </c>
      <c r="K494" s="8">
        <v>200</v>
      </c>
    </row>
    <row r="495" spans="1:11">
      <c r="A495" s="8" t="str">
        <f>"20160420"</f>
        <v>20160420</v>
      </c>
      <c r="B495" s="8" t="str">
        <f>"20160420"</f>
        <v>20160420</v>
      </c>
      <c r="C495" s="8" t="str">
        <f t="shared" si="329"/>
        <v>证券买入</v>
      </c>
      <c r="D495" s="8" t="str">
        <f>"510300"</f>
        <v>510300</v>
      </c>
      <c r="E495" s="8" t="str">
        <f>"300ETF"</f>
        <v>300ETF</v>
      </c>
      <c r="F495" s="8">
        <v>3.114</v>
      </c>
      <c r="G495" s="8">
        <v>2000</v>
      </c>
      <c r="H495" s="8">
        <v>6228</v>
      </c>
      <c r="I495" s="11">
        <v>-6233</v>
      </c>
      <c r="J495" s="8">
        <v>265.92</v>
      </c>
      <c r="K495" s="8">
        <v>4000</v>
      </c>
    </row>
    <row r="496" spans="1:11">
      <c r="A496" s="8" t="str">
        <f>"20160420"</f>
        <v>20160420</v>
      </c>
      <c r="B496" s="8" t="str">
        <f>"20160420"</f>
        <v>20160420</v>
      </c>
      <c r="C496" s="8" t="str">
        <f t="shared" ref="C496:C499" si="330">"证券卖出"</f>
        <v>证券卖出</v>
      </c>
      <c r="D496" s="8" t="str">
        <f>"510300"</f>
        <v>510300</v>
      </c>
      <c r="E496" s="8" t="str">
        <f>"300ETF"</f>
        <v>300ETF</v>
      </c>
      <c r="F496" s="8">
        <v>3.157</v>
      </c>
      <c r="G496" s="8">
        <v>2000</v>
      </c>
      <c r="H496" s="8">
        <v>6314</v>
      </c>
      <c r="I496" s="11">
        <v>6309</v>
      </c>
      <c r="J496" s="8">
        <v>6574.92</v>
      </c>
      <c r="K496" s="8">
        <v>2000</v>
      </c>
    </row>
    <row r="497" spans="1:11">
      <c r="A497" s="8" t="str">
        <f>"20160421"</f>
        <v>20160421</v>
      </c>
      <c r="B497" s="8" t="str">
        <f>"20160421"</f>
        <v>20160421</v>
      </c>
      <c r="C497" s="8" t="str">
        <f t="shared" si="330"/>
        <v>证券卖出</v>
      </c>
      <c r="D497" s="8" t="str">
        <f>"162411"</f>
        <v>162411</v>
      </c>
      <c r="E497" s="8" t="str">
        <f>"华宝油气"</f>
        <v>华宝油气</v>
      </c>
      <c r="F497" s="8">
        <v>0.56</v>
      </c>
      <c r="G497" s="8">
        <v>9871</v>
      </c>
      <c r="H497" s="8">
        <v>5527.76</v>
      </c>
      <c r="I497" s="11">
        <v>5522.76</v>
      </c>
      <c r="J497" s="8">
        <v>12097.68</v>
      </c>
      <c r="K497" s="8">
        <v>10000</v>
      </c>
    </row>
    <row r="498" spans="1:11">
      <c r="A498" s="8" t="str">
        <f>"20160421"</f>
        <v>20160421</v>
      </c>
      <c r="B498" s="8" t="str">
        <f>"20160421"</f>
        <v>20160421</v>
      </c>
      <c r="C498" s="8" t="str">
        <f t="shared" si="329"/>
        <v>证券买入</v>
      </c>
      <c r="D498" s="8" t="str">
        <f>"600886"</f>
        <v>600886</v>
      </c>
      <c r="E498" s="8" t="str">
        <f>"国投电力"</f>
        <v>国投电力</v>
      </c>
      <c r="F498" s="8">
        <v>6.38</v>
      </c>
      <c r="G498" s="8">
        <v>1800</v>
      </c>
      <c r="H498" s="8">
        <v>11484</v>
      </c>
      <c r="I498" s="11">
        <v>-11489.23</v>
      </c>
      <c r="J498" s="8">
        <v>608.45</v>
      </c>
      <c r="K498" s="8">
        <v>1800</v>
      </c>
    </row>
    <row r="499" spans="1:11">
      <c r="A499" s="8" t="str">
        <f>"20160422"</f>
        <v>20160422</v>
      </c>
      <c r="B499" s="8" t="str">
        <f t="shared" ref="B499:B501" si="331">"20160422"</f>
        <v>20160422</v>
      </c>
      <c r="C499" s="8" t="str">
        <f t="shared" si="330"/>
        <v>证券卖出</v>
      </c>
      <c r="D499" s="8" t="str">
        <f>"511990"</f>
        <v>511990</v>
      </c>
      <c r="E499" s="8" t="str">
        <f>"华宝添益"</f>
        <v>华宝添益</v>
      </c>
      <c r="F499" s="8">
        <v>100.012</v>
      </c>
      <c r="G499" s="8">
        <v>200</v>
      </c>
      <c r="H499" s="8">
        <v>20002.4</v>
      </c>
      <c r="I499" s="11">
        <v>20002.4</v>
      </c>
      <c r="J499" s="8">
        <v>20610.85</v>
      </c>
      <c r="K499" s="8">
        <v>0</v>
      </c>
    </row>
    <row r="500" spans="1:11">
      <c r="A500" s="8" t="str">
        <f>"20160422"</f>
        <v>20160422</v>
      </c>
      <c r="B500" s="8" t="str">
        <f t="shared" si="331"/>
        <v>20160422</v>
      </c>
      <c r="C500" s="8" t="str">
        <f>"证券买入"</f>
        <v>证券买入</v>
      </c>
      <c r="D500" s="8" t="str">
        <f>"600886"</f>
        <v>600886</v>
      </c>
      <c r="E500" s="8" t="str">
        <f>"国投电力"</f>
        <v>国投电力</v>
      </c>
      <c r="F500" s="8">
        <v>6.38</v>
      </c>
      <c r="G500" s="8">
        <v>2000</v>
      </c>
      <c r="H500" s="8">
        <v>12760</v>
      </c>
      <c r="I500" s="11">
        <v>-12765.26</v>
      </c>
      <c r="J500" s="8">
        <v>7845.59</v>
      </c>
      <c r="K500" s="8">
        <v>3800</v>
      </c>
    </row>
    <row r="501" spans="1:11">
      <c r="A501" s="8" t="str">
        <f>"20160425"</f>
        <v>20160425</v>
      </c>
      <c r="B501" s="8" t="str">
        <f t="shared" si="331"/>
        <v>20160422</v>
      </c>
      <c r="C501" s="8" t="str">
        <f>"ETF 申购退款"</f>
        <v>ETF 申购退款</v>
      </c>
      <c r="D501" s="8" t="str">
        <f>"511990"</f>
        <v>511990</v>
      </c>
      <c r="E501" s="8" t="str">
        <f>"华宝添益"</f>
        <v>华宝添益</v>
      </c>
      <c r="F501" s="8">
        <v>0</v>
      </c>
      <c r="G501" s="8">
        <v>0</v>
      </c>
      <c r="H501" s="8">
        <v>10.25</v>
      </c>
      <c r="I501" s="11">
        <v>10.25</v>
      </c>
      <c r="J501" s="8">
        <v>7855.84</v>
      </c>
      <c r="K501" s="8">
        <v>0</v>
      </c>
    </row>
    <row r="502" spans="1:11">
      <c r="A502" s="8" t="str">
        <f>"20160516"</f>
        <v>20160516</v>
      </c>
      <c r="B502" s="8" t="str">
        <f>"20160516"</f>
        <v>20160516</v>
      </c>
      <c r="C502" s="8" t="str">
        <f t="shared" ref="C502:C507" si="332">"证券买入"</f>
        <v>证券买入</v>
      </c>
      <c r="D502" s="8" t="str">
        <f t="shared" ref="D502:D508" si="333">"510300"</f>
        <v>510300</v>
      </c>
      <c r="E502" s="8" t="str">
        <f t="shared" ref="E502:E508" si="334">"300ETF"</f>
        <v>300ETF</v>
      </c>
      <c r="F502" s="8">
        <v>3.075</v>
      </c>
      <c r="G502" s="8">
        <v>2500</v>
      </c>
      <c r="H502" s="8">
        <v>7687.5</v>
      </c>
      <c r="I502" s="11">
        <v>-7692.5</v>
      </c>
      <c r="J502" s="8">
        <v>163.34</v>
      </c>
      <c r="K502" s="8">
        <v>4500</v>
      </c>
    </row>
    <row r="503" spans="1:11">
      <c r="A503" s="8" t="str">
        <f>"20160531"</f>
        <v>20160531</v>
      </c>
      <c r="B503" s="8" t="str">
        <f>"20160531"</f>
        <v>20160531</v>
      </c>
      <c r="C503" s="8" t="str">
        <f t="shared" ref="C503:C505" si="335">"证券卖出"</f>
        <v>证券卖出</v>
      </c>
      <c r="D503" s="8" t="str">
        <f t="shared" si="333"/>
        <v>510300</v>
      </c>
      <c r="E503" s="8" t="str">
        <f t="shared" si="334"/>
        <v>300ETF</v>
      </c>
      <c r="F503" s="8">
        <v>3.135</v>
      </c>
      <c r="G503" s="8">
        <v>2500</v>
      </c>
      <c r="H503" s="8">
        <v>7837.5</v>
      </c>
      <c r="I503" s="11">
        <v>7832.5</v>
      </c>
      <c r="J503" s="8">
        <v>7995.84</v>
      </c>
      <c r="K503" s="8">
        <v>2000</v>
      </c>
    </row>
    <row r="504" spans="1:11">
      <c r="A504" s="8" t="str">
        <f>"20160603"</f>
        <v>20160603</v>
      </c>
      <c r="B504" s="8" t="str">
        <f>"20160603"</f>
        <v>20160603</v>
      </c>
      <c r="C504" s="8" t="str">
        <f t="shared" si="335"/>
        <v>证券卖出</v>
      </c>
      <c r="D504" s="8" t="str">
        <f>"600219"</f>
        <v>600219</v>
      </c>
      <c r="E504" s="8" t="str">
        <f>"南山铝业"</f>
        <v>南山铝业</v>
      </c>
      <c r="F504" s="8">
        <v>7.17</v>
      </c>
      <c r="G504" s="8">
        <v>1000</v>
      </c>
      <c r="H504" s="8">
        <v>7170</v>
      </c>
      <c r="I504" s="11">
        <v>7157.69</v>
      </c>
      <c r="J504" s="8">
        <v>15153.53</v>
      </c>
      <c r="K504" s="8">
        <v>5000</v>
      </c>
    </row>
    <row r="505" spans="1:11">
      <c r="A505" s="8" t="str">
        <f>"20160603"</f>
        <v>20160603</v>
      </c>
      <c r="B505" s="8" t="str">
        <f>"20160603"</f>
        <v>20160603</v>
      </c>
      <c r="C505" s="8" t="str">
        <f t="shared" si="335"/>
        <v>证券卖出</v>
      </c>
      <c r="D505" s="8" t="str">
        <f>"600886"</f>
        <v>600886</v>
      </c>
      <c r="E505" s="8" t="str">
        <f>"国投电力"</f>
        <v>国投电力</v>
      </c>
      <c r="F505" s="8">
        <v>6.69</v>
      </c>
      <c r="G505" s="8">
        <v>2000</v>
      </c>
      <c r="H505" s="8">
        <v>13380</v>
      </c>
      <c r="I505" s="11">
        <v>13361.35</v>
      </c>
      <c r="J505" s="8">
        <v>28514.88</v>
      </c>
      <c r="K505" s="8">
        <v>1800</v>
      </c>
    </row>
    <row r="506" spans="1:11">
      <c r="A506" s="8" t="str">
        <f t="shared" ref="A506:A508" si="336">"20160613"</f>
        <v>20160613</v>
      </c>
      <c r="B506" s="8" t="str">
        <f t="shared" ref="B506:B508" si="337">"20160613"</f>
        <v>20160613</v>
      </c>
      <c r="C506" s="8" t="str">
        <f t="shared" si="332"/>
        <v>证券买入</v>
      </c>
      <c r="D506" s="8" t="str">
        <f>"600886"</f>
        <v>600886</v>
      </c>
      <c r="E506" s="8" t="str">
        <f>"国投电力"</f>
        <v>国投电力</v>
      </c>
      <c r="F506" s="8">
        <v>6.61</v>
      </c>
      <c r="G506" s="8">
        <v>2000</v>
      </c>
      <c r="H506" s="8">
        <v>13220</v>
      </c>
      <c r="I506" s="11">
        <v>-13225.26</v>
      </c>
      <c r="J506" s="8">
        <v>15289.62</v>
      </c>
      <c r="K506" s="8">
        <v>3800</v>
      </c>
    </row>
    <row r="507" spans="1:11">
      <c r="A507" s="8" t="str">
        <f t="shared" si="336"/>
        <v>20160613</v>
      </c>
      <c r="B507" s="8" t="str">
        <f t="shared" si="337"/>
        <v>20160613</v>
      </c>
      <c r="C507" s="8" t="str">
        <f t="shared" si="332"/>
        <v>证券买入</v>
      </c>
      <c r="D507" s="8" t="str">
        <f t="shared" si="333"/>
        <v>510300</v>
      </c>
      <c r="E507" s="8" t="str">
        <f t="shared" si="334"/>
        <v>300ETF</v>
      </c>
      <c r="F507" s="8">
        <v>3.138</v>
      </c>
      <c r="G507" s="8">
        <v>2000</v>
      </c>
      <c r="H507" s="8">
        <v>6276</v>
      </c>
      <c r="I507" s="11">
        <v>-6281</v>
      </c>
      <c r="J507" s="8">
        <v>9008.62</v>
      </c>
      <c r="K507" s="8">
        <v>4000</v>
      </c>
    </row>
    <row r="508" spans="1:11">
      <c r="A508" s="8" t="str">
        <f t="shared" si="336"/>
        <v>20160613</v>
      </c>
      <c r="B508" s="8" t="str">
        <f t="shared" si="337"/>
        <v>20160613</v>
      </c>
      <c r="C508" s="8" t="str">
        <f>"证券卖出"</f>
        <v>证券卖出</v>
      </c>
      <c r="D508" s="8" t="str">
        <f t="shared" si="333"/>
        <v>510300</v>
      </c>
      <c r="E508" s="8" t="str">
        <f t="shared" si="334"/>
        <v>300ETF</v>
      </c>
      <c r="F508" s="8">
        <v>3.125</v>
      </c>
      <c r="G508" s="8">
        <v>2000</v>
      </c>
      <c r="H508" s="8">
        <v>6250</v>
      </c>
      <c r="I508" s="11">
        <v>6245</v>
      </c>
      <c r="J508" s="8">
        <v>15253.62</v>
      </c>
      <c r="K508" s="8">
        <v>2000</v>
      </c>
    </row>
    <row r="509" spans="1:11">
      <c r="A509" s="8" t="str">
        <f>"20160620"</f>
        <v>20160620</v>
      </c>
      <c r="B509" s="8" t="str">
        <f>"20160620"</f>
        <v>20160620</v>
      </c>
      <c r="C509" s="8" t="str">
        <f>"利息归本"</f>
        <v>利息归本</v>
      </c>
      <c r="D509" s="8"/>
      <c r="E509" s="8"/>
      <c r="F509" s="8">
        <v>0</v>
      </c>
      <c r="G509" s="8">
        <v>0</v>
      </c>
      <c r="H509" s="8">
        <v>0</v>
      </c>
      <c r="I509" s="11">
        <v>7.97</v>
      </c>
      <c r="J509" s="8">
        <v>15261.59</v>
      </c>
      <c r="K509" s="8">
        <v>0</v>
      </c>
    </row>
    <row r="510" spans="1:11">
      <c r="A510" s="8" t="str">
        <f t="shared" ref="A510:A512" si="338">"20160621"</f>
        <v>20160621</v>
      </c>
      <c r="B510" s="8" t="str">
        <f t="shared" ref="B510:B514" si="339">"20160621"</f>
        <v>20160621</v>
      </c>
      <c r="C510" s="8" t="str">
        <f>"银行转证券"</f>
        <v>银行转证券</v>
      </c>
      <c r="D510" s="8"/>
      <c r="E510" s="8"/>
      <c r="F510" s="8">
        <v>0</v>
      </c>
      <c r="G510" s="8">
        <v>0</v>
      </c>
      <c r="H510" s="8">
        <v>0</v>
      </c>
      <c r="I510" s="11">
        <v>100000</v>
      </c>
      <c r="J510" s="8">
        <v>115261.59</v>
      </c>
      <c r="K510" s="8">
        <v>0</v>
      </c>
    </row>
    <row r="511" spans="1:11">
      <c r="A511" s="8" t="str">
        <f t="shared" si="338"/>
        <v>20160621</v>
      </c>
      <c r="B511" s="8" t="str">
        <f t="shared" si="339"/>
        <v>20160621</v>
      </c>
      <c r="C511" s="8" t="str">
        <f t="shared" ref="C511:C521" si="340">"证券买入"</f>
        <v>证券买入</v>
      </c>
      <c r="D511" s="8" t="str">
        <f>"000939"</f>
        <v>000939</v>
      </c>
      <c r="E511" s="8" t="str">
        <f>"凯迪生态"</f>
        <v>凯迪生态</v>
      </c>
      <c r="F511" s="8">
        <v>8.05</v>
      </c>
      <c r="G511" s="8">
        <v>1800</v>
      </c>
      <c r="H511" s="8">
        <v>14490</v>
      </c>
      <c r="I511" s="11">
        <v>-14495</v>
      </c>
      <c r="J511" s="8">
        <v>100766.59</v>
      </c>
      <c r="K511" s="8">
        <v>1800</v>
      </c>
    </row>
    <row r="512" spans="1:11">
      <c r="A512" s="8" t="str">
        <f t="shared" si="338"/>
        <v>20160621</v>
      </c>
      <c r="B512" s="8" t="str">
        <f t="shared" si="339"/>
        <v>20160621</v>
      </c>
      <c r="C512" s="8" t="str">
        <f t="shared" si="340"/>
        <v>证券买入</v>
      </c>
      <c r="D512" s="8" t="str">
        <f>"511990"</f>
        <v>511990</v>
      </c>
      <c r="E512" s="8" t="str">
        <f>"华宝添益"</f>
        <v>华宝添益</v>
      </c>
      <c r="F512" s="8">
        <v>99.984</v>
      </c>
      <c r="G512" s="8">
        <v>1000</v>
      </c>
      <c r="H512" s="8">
        <v>99984</v>
      </c>
      <c r="I512" s="11">
        <v>-99984</v>
      </c>
      <c r="J512" s="8">
        <v>782.59</v>
      </c>
      <c r="K512" s="8">
        <v>1000</v>
      </c>
    </row>
    <row r="513" spans="1:11">
      <c r="A513" s="8" t="str">
        <f>"20160622"</f>
        <v>20160622</v>
      </c>
      <c r="B513" s="8" t="str">
        <f t="shared" si="339"/>
        <v>20160621</v>
      </c>
      <c r="C513" s="8" t="str">
        <f>"ETF 基金赎回"</f>
        <v>ETF 基金赎回</v>
      </c>
      <c r="D513" s="8" t="str">
        <f>"511991"</f>
        <v>511991</v>
      </c>
      <c r="E513" s="8" t="str">
        <f>"添益申赎"</f>
        <v>添益申赎</v>
      </c>
      <c r="F513" s="8">
        <v>0</v>
      </c>
      <c r="G513" s="8">
        <v>1000</v>
      </c>
      <c r="H513" s="8">
        <v>0</v>
      </c>
      <c r="I513" s="11">
        <v>0</v>
      </c>
      <c r="J513" s="8">
        <v>782.59</v>
      </c>
      <c r="K513" s="8">
        <v>0</v>
      </c>
    </row>
    <row r="514" spans="1:11">
      <c r="A514" s="8" t="str">
        <f>"20160622"</f>
        <v>20160622</v>
      </c>
      <c r="B514" s="8" t="str">
        <f t="shared" si="339"/>
        <v>20160621</v>
      </c>
      <c r="C514" s="8" t="str">
        <f>"ETF 申购退款"</f>
        <v>ETF 申购退款</v>
      </c>
      <c r="D514" s="8" t="str">
        <f>"511990"</f>
        <v>511990</v>
      </c>
      <c r="E514" s="8" t="str">
        <f>"华宝添益"</f>
        <v>华宝添益</v>
      </c>
      <c r="F514" s="8">
        <v>0</v>
      </c>
      <c r="G514" s="8">
        <v>0</v>
      </c>
      <c r="H514" s="8">
        <v>100006.13</v>
      </c>
      <c r="I514" s="11">
        <v>100006.13</v>
      </c>
      <c r="J514" s="8">
        <v>100788.72</v>
      </c>
      <c r="K514" s="8">
        <v>0</v>
      </c>
    </row>
    <row r="515" spans="1:11">
      <c r="A515" s="8" t="str">
        <f>"20160623"</f>
        <v>20160623</v>
      </c>
      <c r="B515" s="8" t="str">
        <f>"20160623"</f>
        <v>20160623</v>
      </c>
      <c r="C515" s="8" t="str">
        <f t="shared" si="340"/>
        <v>证券买入</v>
      </c>
      <c r="D515" s="8" t="str">
        <f>"000667"</f>
        <v>000667</v>
      </c>
      <c r="E515" s="8" t="str">
        <f>"美好集团"</f>
        <v>美好集团</v>
      </c>
      <c r="F515" s="8">
        <v>3.55</v>
      </c>
      <c r="G515" s="8">
        <v>3000</v>
      </c>
      <c r="H515" s="8">
        <v>10650</v>
      </c>
      <c r="I515" s="11">
        <v>-10655</v>
      </c>
      <c r="J515" s="8">
        <v>90133.72</v>
      </c>
      <c r="K515" s="8">
        <v>3000</v>
      </c>
    </row>
    <row r="516" spans="1:11">
      <c r="A516" s="8" t="str">
        <f>"20160623"</f>
        <v>20160623</v>
      </c>
      <c r="B516" s="8" t="str">
        <f>"20160623"</f>
        <v>20160623</v>
      </c>
      <c r="C516" s="8" t="str">
        <f t="shared" si="340"/>
        <v>证券买入</v>
      </c>
      <c r="D516" s="8" t="str">
        <f t="shared" ref="D516:D521" si="341">"600886"</f>
        <v>600886</v>
      </c>
      <c r="E516" s="8" t="str">
        <f t="shared" ref="E516:E521" si="342">"国投电力"</f>
        <v>国投电力</v>
      </c>
      <c r="F516" s="8">
        <v>6.62</v>
      </c>
      <c r="G516" s="8">
        <v>2000</v>
      </c>
      <c r="H516" s="8">
        <v>13240</v>
      </c>
      <c r="I516" s="11">
        <v>-13245.26</v>
      </c>
      <c r="J516" s="8">
        <v>76888.46</v>
      </c>
      <c r="K516" s="8">
        <v>5800</v>
      </c>
    </row>
    <row r="517" spans="1:11">
      <c r="A517" s="8" t="str">
        <f t="shared" ref="A517:A521" si="343">"20160624"</f>
        <v>20160624</v>
      </c>
      <c r="B517" s="8" t="str">
        <f t="shared" ref="B517:B521" si="344">"20160624"</f>
        <v>20160624</v>
      </c>
      <c r="C517" s="8" t="str">
        <f t="shared" si="340"/>
        <v>证券买入</v>
      </c>
      <c r="D517" s="8" t="str">
        <f>"510300"</f>
        <v>510300</v>
      </c>
      <c r="E517" s="8" t="str">
        <f>"300ETF"</f>
        <v>300ETF</v>
      </c>
      <c r="F517" s="8">
        <v>3.1</v>
      </c>
      <c r="G517" s="8">
        <v>2000</v>
      </c>
      <c r="H517" s="8">
        <v>6200</v>
      </c>
      <c r="I517" s="11">
        <v>-6205</v>
      </c>
      <c r="J517" s="8">
        <v>70683.46</v>
      </c>
      <c r="K517" s="8">
        <v>4000</v>
      </c>
    </row>
    <row r="518" spans="1:11">
      <c r="A518" s="8" t="str">
        <f t="shared" si="343"/>
        <v>20160624</v>
      </c>
      <c r="B518" s="8" t="str">
        <f t="shared" si="344"/>
        <v>20160624</v>
      </c>
      <c r="C518" s="8" t="str">
        <f t="shared" si="340"/>
        <v>证券买入</v>
      </c>
      <c r="D518" s="8" t="str">
        <f t="shared" si="341"/>
        <v>600886</v>
      </c>
      <c r="E518" s="8" t="str">
        <f t="shared" si="342"/>
        <v>国投电力</v>
      </c>
      <c r="F518" s="8">
        <v>6.57</v>
      </c>
      <c r="G518" s="8">
        <v>2000</v>
      </c>
      <c r="H518" s="8">
        <v>13140</v>
      </c>
      <c r="I518" s="11">
        <v>-13145.26</v>
      </c>
      <c r="J518" s="8">
        <v>57538.2</v>
      </c>
      <c r="K518" s="8">
        <v>7800</v>
      </c>
    </row>
    <row r="519" spans="1:11">
      <c r="A519" s="8" t="str">
        <f t="shared" si="343"/>
        <v>20160624</v>
      </c>
      <c r="B519" s="8" t="str">
        <f t="shared" si="344"/>
        <v>20160624</v>
      </c>
      <c r="C519" s="8" t="str">
        <f t="shared" si="340"/>
        <v>证券买入</v>
      </c>
      <c r="D519" s="8" t="str">
        <f>"000667"</f>
        <v>000667</v>
      </c>
      <c r="E519" s="8" t="str">
        <f>"美好集团"</f>
        <v>美好集团</v>
      </c>
      <c r="F519" s="8">
        <v>3.51</v>
      </c>
      <c r="G519" s="8">
        <v>3000</v>
      </c>
      <c r="H519" s="8">
        <v>10530</v>
      </c>
      <c r="I519" s="11">
        <v>-10535</v>
      </c>
      <c r="J519" s="8">
        <v>47003.2</v>
      </c>
      <c r="K519" s="8">
        <v>6000</v>
      </c>
    </row>
    <row r="520" spans="1:11">
      <c r="A520" s="8" t="str">
        <f t="shared" si="343"/>
        <v>20160624</v>
      </c>
      <c r="B520" s="8" t="str">
        <f t="shared" si="344"/>
        <v>20160624</v>
      </c>
      <c r="C520" s="8" t="str">
        <f t="shared" si="340"/>
        <v>证券买入</v>
      </c>
      <c r="D520" s="8" t="str">
        <f>"000939"</f>
        <v>000939</v>
      </c>
      <c r="E520" s="8" t="str">
        <f>"凯迪生态"</f>
        <v>凯迪生态</v>
      </c>
      <c r="F520" s="8">
        <v>7.78</v>
      </c>
      <c r="G520" s="8">
        <v>1800</v>
      </c>
      <c r="H520" s="8">
        <v>14004</v>
      </c>
      <c r="I520" s="11">
        <v>-14009</v>
      </c>
      <c r="J520" s="8">
        <v>32994.2</v>
      </c>
      <c r="K520" s="8">
        <v>3600</v>
      </c>
    </row>
    <row r="521" spans="1:11">
      <c r="A521" s="8" t="str">
        <f t="shared" si="343"/>
        <v>20160624</v>
      </c>
      <c r="B521" s="8" t="str">
        <f t="shared" si="344"/>
        <v>20160624</v>
      </c>
      <c r="C521" s="8" t="str">
        <f t="shared" si="340"/>
        <v>证券买入</v>
      </c>
      <c r="D521" s="8" t="str">
        <f t="shared" si="341"/>
        <v>600886</v>
      </c>
      <c r="E521" s="8" t="str">
        <f t="shared" si="342"/>
        <v>国投电力</v>
      </c>
      <c r="F521" s="8">
        <v>6.53</v>
      </c>
      <c r="G521" s="8">
        <v>5000</v>
      </c>
      <c r="H521" s="8">
        <v>32650</v>
      </c>
      <c r="I521" s="11">
        <v>-32660.78</v>
      </c>
      <c r="J521" s="8">
        <v>333.42</v>
      </c>
      <c r="K521" s="8">
        <v>12800</v>
      </c>
    </row>
    <row r="522" spans="1:11">
      <c r="A522" s="8" t="str">
        <f>"20160627"</f>
        <v>20160627</v>
      </c>
      <c r="B522" s="8" t="str">
        <f t="shared" ref="B522:B525" si="345">"20160627"</f>
        <v>20160627</v>
      </c>
      <c r="C522" s="8" t="str">
        <f>"银行转证券"</f>
        <v>银行转证券</v>
      </c>
      <c r="D522" s="8"/>
      <c r="E522" s="8"/>
      <c r="F522" s="8">
        <v>0</v>
      </c>
      <c r="G522" s="8">
        <v>0</v>
      </c>
      <c r="H522" s="8">
        <v>0</v>
      </c>
      <c r="I522" s="11">
        <v>40000</v>
      </c>
      <c r="J522" s="8">
        <v>40333.42</v>
      </c>
      <c r="K522" s="8">
        <v>0</v>
      </c>
    </row>
    <row r="523" spans="1:11">
      <c r="A523" s="8" t="str">
        <f>"20160627"</f>
        <v>20160627</v>
      </c>
      <c r="B523" s="8" t="str">
        <f t="shared" si="345"/>
        <v>20160627</v>
      </c>
      <c r="C523" s="8" t="str">
        <f t="shared" ref="C523:C528" si="346">"证券买入"</f>
        <v>证券买入</v>
      </c>
      <c r="D523" s="8" t="str">
        <f t="shared" ref="D523:D527" si="347">"511990"</f>
        <v>511990</v>
      </c>
      <c r="E523" s="8" t="str">
        <f t="shared" ref="E523:E527" si="348">"华宝添益"</f>
        <v>华宝添益</v>
      </c>
      <c r="F523" s="8">
        <v>99.978</v>
      </c>
      <c r="G523" s="8">
        <v>400</v>
      </c>
      <c r="H523" s="8">
        <v>39991.2</v>
      </c>
      <c r="I523" s="11">
        <v>-39991.2</v>
      </c>
      <c r="J523" s="8">
        <v>342.22</v>
      </c>
      <c r="K523" s="8">
        <v>400</v>
      </c>
    </row>
    <row r="524" spans="1:11">
      <c r="A524" s="8" t="str">
        <f>"20160628"</f>
        <v>20160628</v>
      </c>
      <c r="B524" s="8" t="str">
        <f t="shared" si="345"/>
        <v>20160627</v>
      </c>
      <c r="C524" s="8" t="str">
        <f>"ETF 基金赎回"</f>
        <v>ETF 基金赎回</v>
      </c>
      <c r="D524" s="8" t="str">
        <f>"511991"</f>
        <v>511991</v>
      </c>
      <c r="E524" s="8" t="str">
        <f>"添益申赎"</f>
        <v>添益申赎</v>
      </c>
      <c r="F524" s="8">
        <v>0</v>
      </c>
      <c r="G524" s="8">
        <v>400</v>
      </c>
      <c r="H524" s="8">
        <v>0</v>
      </c>
      <c r="I524" s="11">
        <v>0</v>
      </c>
      <c r="J524" s="8">
        <v>342.22</v>
      </c>
      <c r="K524" s="8">
        <v>0</v>
      </c>
    </row>
    <row r="525" spans="1:11">
      <c r="A525" s="8" t="str">
        <f>"20160628"</f>
        <v>20160628</v>
      </c>
      <c r="B525" s="8" t="str">
        <f t="shared" si="345"/>
        <v>20160627</v>
      </c>
      <c r="C525" s="8" t="str">
        <f>"ETF 申购退款"</f>
        <v>ETF 申购退款</v>
      </c>
      <c r="D525" s="8" t="str">
        <f t="shared" si="347"/>
        <v>511990</v>
      </c>
      <c r="E525" s="8" t="str">
        <f t="shared" si="348"/>
        <v>华宝添益</v>
      </c>
      <c r="F525" s="8">
        <v>0</v>
      </c>
      <c r="G525" s="8">
        <v>0</v>
      </c>
      <c r="H525" s="8">
        <v>40002.46</v>
      </c>
      <c r="I525" s="11">
        <v>40002.46</v>
      </c>
      <c r="J525" s="8">
        <v>40344.68</v>
      </c>
      <c r="K525" s="8">
        <v>0</v>
      </c>
    </row>
    <row r="526" spans="1:11">
      <c r="A526" s="8" t="str">
        <f t="shared" ref="A526:A528" si="349">"20160629"</f>
        <v>20160629</v>
      </c>
      <c r="B526" s="8" t="str">
        <f t="shared" ref="B526:B529" si="350">"20160629"</f>
        <v>20160629</v>
      </c>
      <c r="C526" s="8" t="str">
        <f>"证券卖出"</f>
        <v>证券卖出</v>
      </c>
      <c r="D526" s="8" t="str">
        <f>"000939"</f>
        <v>000939</v>
      </c>
      <c r="E526" s="8" t="str">
        <f>"凯迪生态"</f>
        <v>凯迪生态</v>
      </c>
      <c r="F526" s="8">
        <v>8.09</v>
      </c>
      <c r="G526" s="8">
        <v>1800</v>
      </c>
      <c r="H526" s="8">
        <v>14562</v>
      </c>
      <c r="I526" s="11">
        <v>14542.44</v>
      </c>
      <c r="J526" s="8">
        <v>54887.12</v>
      </c>
      <c r="K526" s="8">
        <v>1800</v>
      </c>
    </row>
    <row r="527" spans="1:11">
      <c r="A527" s="8" t="str">
        <f t="shared" si="349"/>
        <v>20160629</v>
      </c>
      <c r="B527" s="8" t="str">
        <f t="shared" si="350"/>
        <v>20160629</v>
      </c>
      <c r="C527" s="8" t="str">
        <f t="shared" si="346"/>
        <v>证券买入</v>
      </c>
      <c r="D527" s="8" t="str">
        <f t="shared" si="347"/>
        <v>511990</v>
      </c>
      <c r="E527" s="8" t="str">
        <f t="shared" si="348"/>
        <v>华宝添益</v>
      </c>
      <c r="F527" s="8">
        <v>99.966</v>
      </c>
      <c r="G527" s="8">
        <v>400</v>
      </c>
      <c r="H527" s="8">
        <v>39986.4</v>
      </c>
      <c r="I527" s="11">
        <v>-39986.4</v>
      </c>
      <c r="J527" s="8">
        <v>14900.72</v>
      </c>
      <c r="K527" s="8">
        <v>400</v>
      </c>
    </row>
    <row r="528" spans="1:11">
      <c r="A528" s="8" t="str">
        <f t="shared" si="349"/>
        <v>20160629</v>
      </c>
      <c r="B528" s="8" t="str">
        <f t="shared" si="350"/>
        <v>20160629</v>
      </c>
      <c r="C528" s="8" t="str">
        <f t="shared" si="346"/>
        <v>证券买入</v>
      </c>
      <c r="D528" s="8" t="str">
        <f>"002717"</f>
        <v>002717</v>
      </c>
      <c r="E528" s="8" t="str">
        <f>"岭南园林"</f>
        <v>岭南园林</v>
      </c>
      <c r="F528" s="8">
        <v>30.09</v>
      </c>
      <c r="G528" s="8">
        <v>200</v>
      </c>
      <c r="H528" s="8">
        <v>6018</v>
      </c>
      <c r="I528" s="11">
        <v>-6023</v>
      </c>
      <c r="J528" s="8">
        <v>8877.72</v>
      </c>
      <c r="K528" s="8">
        <v>200</v>
      </c>
    </row>
    <row r="529" spans="1:11">
      <c r="A529" s="8" t="str">
        <f t="shared" ref="A529:A533" si="351">"20160630"</f>
        <v>20160630</v>
      </c>
      <c r="B529" s="8" t="str">
        <f t="shared" si="350"/>
        <v>20160629</v>
      </c>
      <c r="C529" s="8" t="str">
        <f>"ETF 基金赎回"</f>
        <v>ETF 基金赎回</v>
      </c>
      <c r="D529" s="8" t="str">
        <f>"511991"</f>
        <v>511991</v>
      </c>
      <c r="E529" s="8" t="str">
        <f>"添益申赎"</f>
        <v>添益申赎</v>
      </c>
      <c r="F529" s="8">
        <v>0</v>
      </c>
      <c r="G529" s="8">
        <v>400</v>
      </c>
      <c r="H529" s="8">
        <v>0</v>
      </c>
      <c r="I529" s="11">
        <v>0</v>
      </c>
      <c r="J529" s="8">
        <v>8877.72</v>
      </c>
      <c r="K529" s="8">
        <v>0</v>
      </c>
    </row>
    <row r="530" spans="1:11">
      <c r="A530" s="8" t="str">
        <f t="shared" si="351"/>
        <v>20160630</v>
      </c>
      <c r="B530" s="8" t="str">
        <f t="shared" ref="B530:B532" si="352">"20160630"</f>
        <v>20160630</v>
      </c>
      <c r="C530" s="8" t="str">
        <f>"证券卖出"</f>
        <v>证券卖出</v>
      </c>
      <c r="D530" s="8" t="str">
        <f>"000939"</f>
        <v>000939</v>
      </c>
      <c r="E530" s="8" t="str">
        <f>"凯迪生态"</f>
        <v>凯迪生态</v>
      </c>
      <c r="F530" s="8">
        <v>8.5</v>
      </c>
      <c r="G530" s="8">
        <v>1800</v>
      </c>
      <c r="H530" s="8">
        <v>15300</v>
      </c>
      <c r="I530" s="11">
        <v>15279.7</v>
      </c>
      <c r="J530" s="8">
        <v>24157.42</v>
      </c>
      <c r="K530" s="8">
        <v>0</v>
      </c>
    </row>
    <row r="531" spans="1:11">
      <c r="A531" s="8" t="str">
        <f t="shared" si="351"/>
        <v>20160630</v>
      </c>
      <c r="B531" s="8" t="str">
        <f t="shared" si="352"/>
        <v>20160630</v>
      </c>
      <c r="C531" s="8" t="str">
        <f t="shared" ref="C531:C535" si="353">"证券买入"</f>
        <v>证券买入</v>
      </c>
      <c r="D531" s="8" t="str">
        <f>"000667"</f>
        <v>000667</v>
      </c>
      <c r="E531" s="8" t="str">
        <f>"美好集团"</f>
        <v>美好集团</v>
      </c>
      <c r="F531" s="8">
        <v>3.56</v>
      </c>
      <c r="G531" s="8">
        <v>3000</v>
      </c>
      <c r="H531" s="8">
        <v>10680</v>
      </c>
      <c r="I531" s="11">
        <v>-10685</v>
      </c>
      <c r="J531" s="8">
        <v>13472.42</v>
      </c>
      <c r="K531" s="8">
        <v>9000</v>
      </c>
    </row>
    <row r="532" spans="1:11">
      <c r="A532" s="8" t="str">
        <f t="shared" si="351"/>
        <v>20160630</v>
      </c>
      <c r="B532" s="8" t="str">
        <f t="shared" si="352"/>
        <v>20160630</v>
      </c>
      <c r="C532" s="8" t="str">
        <f t="shared" si="353"/>
        <v>证券买入</v>
      </c>
      <c r="D532" s="8" t="str">
        <f>"600297"</f>
        <v>600297</v>
      </c>
      <c r="E532" s="8" t="str">
        <f>"广汇汽车"</f>
        <v>广汇汽车</v>
      </c>
      <c r="F532" s="8">
        <v>8.72</v>
      </c>
      <c r="G532" s="8">
        <v>1000</v>
      </c>
      <c r="H532" s="8">
        <v>8720</v>
      </c>
      <c r="I532" s="11">
        <v>-8725.18</v>
      </c>
      <c r="J532" s="8">
        <v>4747.24</v>
      </c>
      <c r="K532" s="8">
        <v>1000</v>
      </c>
    </row>
    <row r="533" spans="1:11">
      <c r="A533" s="8" t="str">
        <f t="shared" si="351"/>
        <v>20160630</v>
      </c>
      <c r="B533" s="8" t="str">
        <f>"20160629"</f>
        <v>20160629</v>
      </c>
      <c r="C533" s="8" t="str">
        <f>"ETF 申购退款"</f>
        <v>ETF 申购退款</v>
      </c>
      <c r="D533" s="8" t="str">
        <f>"511990"</f>
        <v>511990</v>
      </c>
      <c r="E533" s="8" t="str">
        <f>"华宝添益"</f>
        <v>华宝添益</v>
      </c>
      <c r="F533" s="8">
        <v>0</v>
      </c>
      <c r="G533" s="8">
        <v>0</v>
      </c>
      <c r="H533" s="8">
        <v>40002.52</v>
      </c>
      <c r="I533" s="11">
        <v>40002.52</v>
      </c>
      <c r="J533" s="8">
        <v>44749.76</v>
      </c>
      <c r="K533" s="8">
        <v>0</v>
      </c>
    </row>
    <row r="534" spans="1:11">
      <c r="A534" s="4" t="str">
        <f>"20160701"</f>
        <v>20160701</v>
      </c>
      <c r="B534" s="4" t="str">
        <f>"20160701"</f>
        <v>20160701</v>
      </c>
      <c r="C534" s="4" t="str">
        <f t="shared" ref="C534:C538" si="354">"证券卖出"</f>
        <v>证券卖出</v>
      </c>
      <c r="D534" s="4" t="str">
        <f>"510300"</f>
        <v>510300</v>
      </c>
      <c r="E534" s="4" t="str">
        <f>"300ETF"</f>
        <v>300ETF</v>
      </c>
      <c r="F534" s="4">
        <v>3.171</v>
      </c>
      <c r="G534" s="4">
        <v>2000</v>
      </c>
      <c r="H534" s="4">
        <v>6342</v>
      </c>
      <c r="I534" s="12">
        <v>6337</v>
      </c>
      <c r="J534" s="4">
        <v>51086.76</v>
      </c>
      <c r="K534" s="4">
        <v>2000</v>
      </c>
    </row>
    <row r="535" spans="1:11">
      <c r="A535" s="4" t="str">
        <f>"20160701"</f>
        <v>20160701</v>
      </c>
      <c r="B535" s="4" t="str">
        <f>"20160701"</f>
        <v>20160701</v>
      </c>
      <c r="C535" s="4" t="str">
        <f t="shared" si="353"/>
        <v>证券买入</v>
      </c>
      <c r="D535" s="4" t="str">
        <f>"600297"</f>
        <v>600297</v>
      </c>
      <c r="E535" s="4" t="str">
        <f>"广汇汽车"</f>
        <v>广汇汽车</v>
      </c>
      <c r="F535" s="4">
        <v>8.79</v>
      </c>
      <c r="G535" s="4">
        <v>1000</v>
      </c>
      <c r="H535" s="4">
        <v>8790</v>
      </c>
      <c r="I535" s="12">
        <v>-8795.18</v>
      </c>
      <c r="J535" s="4">
        <v>42291.58</v>
      </c>
      <c r="K535" s="4">
        <v>2000</v>
      </c>
    </row>
    <row r="536" spans="1:11">
      <c r="A536" s="4" t="str">
        <f t="shared" ref="A536:A540" si="355">"20160704"</f>
        <v>20160704</v>
      </c>
      <c r="B536" s="4" t="str">
        <f t="shared" ref="B536:B542" si="356">"20160704"</f>
        <v>20160704</v>
      </c>
      <c r="C536" s="4" t="str">
        <f>"红利入账"</f>
        <v>红利入账</v>
      </c>
      <c r="D536" s="4" t="str">
        <f>"600886"</f>
        <v>600886</v>
      </c>
      <c r="E536" s="4" t="str">
        <f>"国投电力"</f>
        <v>国投电力</v>
      </c>
      <c r="F536" s="4">
        <v>0</v>
      </c>
      <c r="G536" s="4">
        <v>10000</v>
      </c>
      <c r="H536" s="4">
        <v>2799.3</v>
      </c>
      <c r="I536" s="12">
        <v>2799.3</v>
      </c>
      <c r="J536" s="4">
        <v>45090.88</v>
      </c>
      <c r="K536" s="4">
        <v>0</v>
      </c>
    </row>
    <row r="537" spans="1:11">
      <c r="A537" s="4" t="str">
        <f t="shared" si="355"/>
        <v>20160704</v>
      </c>
      <c r="B537" s="4" t="str">
        <f t="shared" si="356"/>
        <v>20160704</v>
      </c>
      <c r="C537" s="4" t="str">
        <f t="shared" si="354"/>
        <v>证券卖出</v>
      </c>
      <c r="D537" s="4" t="str">
        <f>"600886"</f>
        <v>600886</v>
      </c>
      <c r="E537" s="4" t="str">
        <f>"国投电力"</f>
        <v>国投电力</v>
      </c>
      <c r="F537" s="4">
        <v>6.73</v>
      </c>
      <c r="G537" s="4">
        <v>2800</v>
      </c>
      <c r="H537" s="4">
        <v>18844</v>
      </c>
      <c r="I537" s="12">
        <v>18818.94</v>
      </c>
      <c r="J537" s="4">
        <v>63909.82</v>
      </c>
      <c r="K537" s="4">
        <v>10000</v>
      </c>
    </row>
    <row r="538" spans="1:11">
      <c r="A538" s="4" t="str">
        <f t="shared" si="355"/>
        <v>20160704</v>
      </c>
      <c r="B538" s="4" t="str">
        <f t="shared" si="356"/>
        <v>20160704</v>
      </c>
      <c r="C538" s="4" t="str">
        <f t="shared" si="354"/>
        <v>证券卖出</v>
      </c>
      <c r="D538" s="4" t="str">
        <f>"000667"</f>
        <v>000667</v>
      </c>
      <c r="E538" s="4" t="str">
        <f>"美好集团"</f>
        <v>美好集团</v>
      </c>
      <c r="F538" s="4">
        <v>3.65</v>
      </c>
      <c r="G538" s="4">
        <v>3000</v>
      </c>
      <c r="H538" s="4">
        <v>10950</v>
      </c>
      <c r="I538" s="12">
        <v>10934.05</v>
      </c>
      <c r="J538" s="4">
        <v>74843.87</v>
      </c>
      <c r="K538" s="4">
        <v>6000</v>
      </c>
    </row>
    <row r="539" spans="1:11">
      <c r="A539" s="4" t="str">
        <f t="shared" si="355"/>
        <v>20160704</v>
      </c>
      <c r="B539" s="4" t="str">
        <f t="shared" si="356"/>
        <v>20160704</v>
      </c>
      <c r="C539" s="4" t="str">
        <f>"证券买入"</f>
        <v>证券买入</v>
      </c>
      <c r="D539" s="4" t="str">
        <f>"511990"</f>
        <v>511990</v>
      </c>
      <c r="E539" s="4" t="str">
        <f>"华宝添益"</f>
        <v>华宝添益</v>
      </c>
      <c r="F539" s="4">
        <v>99.987</v>
      </c>
      <c r="G539" s="4">
        <v>400</v>
      </c>
      <c r="H539" s="4">
        <v>39994.8</v>
      </c>
      <c r="I539" s="12">
        <v>-39994.8</v>
      </c>
      <c r="J539" s="4">
        <v>34849.07</v>
      </c>
      <c r="K539" s="4">
        <v>400</v>
      </c>
    </row>
    <row r="540" spans="1:11">
      <c r="A540" s="4" t="str">
        <f t="shared" si="355"/>
        <v>20160704</v>
      </c>
      <c r="B540" s="4" t="str">
        <f t="shared" si="356"/>
        <v>20160704</v>
      </c>
      <c r="C540" s="4" t="str">
        <f>"证券卖出"</f>
        <v>证券卖出</v>
      </c>
      <c r="D540" s="4" t="str">
        <f>"600219"</f>
        <v>600219</v>
      </c>
      <c r="E540" s="4" t="str">
        <f>"南山铝业"</f>
        <v>南山铝业</v>
      </c>
      <c r="F540" s="4">
        <v>7.85</v>
      </c>
      <c r="G540" s="4">
        <v>500</v>
      </c>
      <c r="H540" s="4">
        <v>3925</v>
      </c>
      <c r="I540" s="12">
        <v>3915.99</v>
      </c>
      <c r="J540" s="4">
        <v>38765.06</v>
      </c>
      <c r="K540" s="4">
        <v>4500</v>
      </c>
    </row>
    <row r="541" spans="1:11">
      <c r="A541" s="4" t="str">
        <f>"20160705"</f>
        <v>20160705</v>
      </c>
      <c r="B541" s="4" t="str">
        <f t="shared" si="356"/>
        <v>20160704</v>
      </c>
      <c r="C541" s="4" t="str">
        <f>"ETF 基金赎回"</f>
        <v>ETF 基金赎回</v>
      </c>
      <c r="D541" s="4" t="str">
        <f>"511991"</f>
        <v>511991</v>
      </c>
      <c r="E541" s="4" t="str">
        <f>"添益申赎"</f>
        <v>添益申赎</v>
      </c>
      <c r="F541" s="4">
        <v>0</v>
      </c>
      <c r="G541" s="4">
        <v>400</v>
      </c>
      <c r="H541" s="4">
        <v>0</v>
      </c>
      <c r="I541" s="12">
        <v>0</v>
      </c>
      <c r="J541" s="4">
        <v>38765.06</v>
      </c>
      <c r="K541" s="4">
        <v>0</v>
      </c>
    </row>
    <row r="542" spans="1:11">
      <c r="A542" s="4" t="str">
        <f>"20160705"</f>
        <v>20160705</v>
      </c>
      <c r="B542" s="4" t="str">
        <f t="shared" si="356"/>
        <v>20160704</v>
      </c>
      <c r="C542" s="4" t="str">
        <f>"ETF 申购退款"</f>
        <v>ETF 申购退款</v>
      </c>
      <c r="D542" s="4" t="str">
        <f>"511990"</f>
        <v>511990</v>
      </c>
      <c r="E542" s="4" t="str">
        <f>"华宝添益"</f>
        <v>华宝添益</v>
      </c>
      <c r="F542" s="4">
        <v>0</v>
      </c>
      <c r="G542" s="4">
        <v>0</v>
      </c>
      <c r="H542" s="4">
        <v>40002.57</v>
      </c>
      <c r="I542" s="12">
        <v>40002.57</v>
      </c>
      <c r="J542" s="4">
        <v>78767.63</v>
      </c>
      <c r="K542" s="4">
        <v>0</v>
      </c>
    </row>
    <row r="543" spans="1:11">
      <c r="A543" s="4" t="str">
        <f>"20160706"</f>
        <v>20160706</v>
      </c>
      <c r="B543" s="4" t="str">
        <f>"20160706"</f>
        <v>20160706</v>
      </c>
      <c r="C543" s="4" t="str">
        <f t="shared" ref="C543:C549" si="357">"证券卖出"</f>
        <v>证券卖出</v>
      </c>
      <c r="D543" s="4" t="str">
        <f>"002717"</f>
        <v>002717</v>
      </c>
      <c r="E543" s="4" t="str">
        <f>"岭南园林"</f>
        <v>岭南园林</v>
      </c>
      <c r="F543" s="4">
        <v>29.8</v>
      </c>
      <c r="G543" s="4">
        <v>200</v>
      </c>
      <c r="H543" s="4">
        <v>5960</v>
      </c>
      <c r="I543" s="12">
        <v>5949.04</v>
      </c>
      <c r="J543" s="4">
        <v>84716.67</v>
      </c>
      <c r="K543" s="4">
        <v>0</v>
      </c>
    </row>
    <row r="544" spans="1:11">
      <c r="A544" s="4" t="str">
        <f t="shared" ref="A544:A547" si="358">"20160707"</f>
        <v>20160707</v>
      </c>
      <c r="B544" s="4" t="str">
        <f t="shared" ref="B544:B547" si="359">"20160707"</f>
        <v>20160707</v>
      </c>
      <c r="C544" s="4" t="str">
        <f t="shared" ref="C544:C547" si="360">"证券买入"</f>
        <v>证券买入</v>
      </c>
      <c r="D544" s="4" t="str">
        <f>"000667"</f>
        <v>000667</v>
      </c>
      <c r="E544" s="4" t="str">
        <f>"美好集团"</f>
        <v>美好集团</v>
      </c>
      <c r="F544" s="4">
        <v>3.63</v>
      </c>
      <c r="G544" s="4">
        <v>3000</v>
      </c>
      <c r="H544" s="4">
        <v>10890</v>
      </c>
      <c r="I544" s="12">
        <v>-10895</v>
      </c>
      <c r="J544" s="4">
        <v>73821.67</v>
      </c>
      <c r="K544" s="4">
        <v>9000</v>
      </c>
    </row>
    <row r="545" spans="1:11">
      <c r="A545" s="4" t="str">
        <f t="shared" si="358"/>
        <v>20160707</v>
      </c>
      <c r="B545" s="4" t="str">
        <f t="shared" si="359"/>
        <v>20160707</v>
      </c>
      <c r="C545" s="4" t="str">
        <f t="shared" si="360"/>
        <v>证券买入</v>
      </c>
      <c r="D545" s="4" t="str">
        <f>"600219"</f>
        <v>600219</v>
      </c>
      <c r="E545" s="4" t="str">
        <f>"南山铝业"</f>
        <v>南山铝业</v>
      </c>
      <c r="F545" s="4">
        <v>8.13</v>
      </c>
      <c r="G545" s="4">
        <v>2000</v>
      </c>
      <c r="H545" s="4">
        <v>16260</v>
      </c>
      <c r="I545" s="12">
        <v>-16265.36</v>
      </c>
      <c r="J545" s="4">
        <v>57556.31</v>
      </c>
      <c r="K545" s="4">
        <v>6500</v>
      </c>
    </row>
    <row r="546" spans="1:11">
      <c r="A546" s="4" t="str">
        <f t="shared" si="358"/>
        <v>20160707</v>
      </c>
      <c r="B546" s="4" t="str">
        <f t="shared" si="359"/>
        <v>20160707</v>
      </c>
      <c r="C546" s="4" t="str">
        <f t="shared" si="357"/>
        <v>证券卖出</v>
      </c>
      <c r="D546" s="4" t="str">
        <f>"600297"</f>
        <v>600297</v>
      </c>
      <c r="E546" s="4" t="str">
        <f>"广汇汽车"</f>
        <v>广汇汽车</v>
      </c>
      <c r="F546" s="4">
        <v>8.95</v>
      </c>
      <c r="G546" s="4">
        <v>2000</v>
      </c>
      <c r="H546" s="4">
        <v>17900</v>
      </c>
      <c r="I546" s="12">
        <v>17876.18</v>
      </c>
      <c r="J546" s="4">
        <v>75432.49</v>
      </c>
      <c r="K546" s="4">
        <v>0</v>
      </c>
    </row>
    <row r="547" spans="1:11">
      <c r="A547" s="4" t="str">
        <f t="shared" si="358"/>
        <v>20160707</v>
      </c>
      <c r="B547" s="4" t="str">
        <f t="shared" si="359"/>
        <v>20160707</v>
      </c>
      <c r="C547" s="4" t="str">
        <f t="shared" si="360"/>
        <v>证券买入</v>
      </c>
      <c r="D547" s="4" t="str">
        <f t="shared" ref="D547:D551" si="361">"600894"</f>
        <v>600894</v>
      </c>
      <c r="E547" s="4" t="str">
        <f t="shared" ref="E547:E551" si="362">"广日股份"</f>
        <v>广日股份</v>
      </c>
      <c r="F547" s="4">
        <v>13.88</v>
      </c>
      <c r="G547" s="4">
        <v>2000</v>
      </c>
      <c r="H547" s="4">
        <v>27760</v>
      </c>
      <c r="I547" s="12">
        <v>-27769.17</v>
      </c>
      <c r="J547" s="4">
        <v>47663.32</v>
      </c>
      <c r="K547" s="4">
        <v>2000</v>
      </c>
    </row>
    <row r="548" spans="1:11">
      <c r="A548" s="4" t="str">
        <f t="shared" ref="A548:A552" si="363">"20160708"</f>
        <v>20160708</v>
      </c>
      <c r="B548" s="4" t="str">
        <f t="shared" ref="B548:B552" si="364">"20160708"</f>
        <v>20160708</v>
      </c>
      <c r="C548" s="4" t="str">
        <f t="shared" si="357"/>
        <v>证券卖出</v>
      </c>
      <c r="D548" s="4" t="str">
        <f>"600219"</f>
        <v>600219</v>
      </c>
      <c r="E548" s="4" t="str">
        <f>"南山铝业"</f>
        <v>南山铝业</v>
      </c>
      <c r="F548" s="4">
        <v>8.01</v>
      </c>
      <c r="G548" s="4">
        <v>2000</v>
      </c>
      <c r="H548" s="4">
        <v>16020</v>
      </c>
      <c r="I548" s="12">
        <v>15998.66</v>
      </c>
      <c r="J548" s="4">
        <v>63661.98</v>
      </c>
      <c r="K548" s="4">
        <v>4500</v>
      </c>
    </row>
    <row r="549" spans="1:11">
      <c r="A549" s="4" t="str">
        <f t="shared" si="363"/>
        <v>20160708</v>
      </c>
      <c r="B549" s="4" t="str">
        <f t="shared" si="364"/>
        <v>20160708</v>
      </c>
      <c r="C549" s="4" t="str">
        <f t="shared" si="357"/>
        <v>证券卖出</v>
      </c>
      <c r="D549" s="4" t="str">
        <f t="shared" si="361"/>
        <v>600894</v>
      </c>
      <c r="E549" s="4" t="str">
        <f t="shared" si="362"/>
        <v>广日股份</v>
      </c>
      <c r="F549" s="4">
        <v>13.98</v>
      </c>
      <c r="G549" s="4">
        <v>2000</v>
      </c>
      <c r="H549" s="4">
        <v>27960</v>
      </c>
      <c r="I549" s="12">
        <v>27922.81</v>
      </c>
      <c r="J549" s="4">
        <v>91584.79</v>
      </c>
      <c r="K549" s="4">
        <v>0</v>
      </c>
    </row>
    <row r="550" spans="1:11">
      <c r="A550" s="4" t="str">
        <f t="shared" si="363"/>
        <v>20160708</v>
      </c>
      <c r="B550" s="4" t="str">
        <f t="shared" si="364"/>
        <v>20160708</v>
      </c>
      <c r="C550" s="4" t="str">
        <f t="shared" ref="C550:C552" si="365">"证券买入"</f>
        <v>证券买入</v>
      </c>
      <c r="D550" s="4" t="str">
        <f t="shared" ref="D550:D554" si="366">"600297"</f>
        <v>600297</v>
      </c>
      <c r="E550" s="4" t="str">
        <f t="shared" ref="E550:E554" si="367">"广汇汽车"</f>
        <v>广汇汽车</v>
      </c>
      <c r="F550" s="4">
        <v>8.83</v>
      </c>
      <c r="G550" s="4">
        <v>2000</v>
      </c>
      <c r="H550" s="4">
        <v>17660</v>
      </c>
      <c r="I550" s="12">
        <v>-17665.82</v>
      </c>
      <c r="J550" s="4">
        <v>73918.97</v>
      </c>
      <c r="K550" s="4">
        <v>2000</v>
      </c>
    </row>
    <row r="551" spans="1:11">
      <c r="A551" s="4" t="str">
        <f t="shared" si="363"/>
        <v>20160708</v>
      </c>
      <c r="B551" s="4" t="str">
        <f t="shared" si="364"/>
        <v>20160708</v>
      </c>
      <c r="C551" s="4" t="str">
        <f t="shared" si="365"/>
        <v>证券买入</v>
      </c>
      <c r="D551" s="4" t="str">
        <f t="shared" si="361"/>
        <v>600894</v>
      </c>
      <c r="E551" s="4" t="str">
        <f t="shared" si="362"/>
        <v>广日股份</v>
      </c>
      <c r="F551" s="4">
        <v>14.05</v>
      </c>
      <c r="G551" s="4">
        <v>2000</v>
      </c>
      <c r="H551" s="4">
        <v>28100</v>
      </c>
      <c r="I551" s="12">
        <v>-28109.27</v>
      </c>
      <c r="J551" s="4">
        <v>45809.7</v>
      </c>
      <c r="K551" s="4">
        <v>2000</v>
      </c>
    </row>
    <row r="552" spans="1:11">
      <c r="A552" s="4" t="str">
        <f t="shared" si="363"/>
        <v>20160708</v>
      </c>
      <c r="B552" s="4" t="str">
        <f t="shared" si="364"/>
        <v>20160708</v>
      </c>
      <c r="C552" s="4" t="str">
        <f t="shared" si="365"/>
        <v>证券买入</v>
      </c>
      <c r="D552" s="4" t="str">
        <f>"000667"</f>
        <v>000667</v>
      </c>
      <c r="E552" s="4" t="str">
        <f>"美好集团"</f>
        <v>美好集团</v>
      </c>
      <c r="F552" s="4">
        <v>3.62</v>
      </c>
      <c r="G552" s="4">
        <v>3000</v>
      </c>
      <c r="H552" s="4">
        <v>10860</v>
      </c>
      <c r="I552" s="12">
        <v>-10865</v>
      </c>
      <c r="J552" s="4">
        <v>34944.7</v>
      </c>
      <c r="K552" s="4">
        <v>12000</v>
      </c>
    </row>
    <row r="553" spans="1:11">
      <c r="A553" s="4" t="str">
        <f>"20160711"</f>
        <v>20160711</v>
      </c>
      <c r="B553" s="4" t="str">
        <f>"20160711"</f>
        <v>20160711</v>
      </c>
      <c r="C553" s="4" t="str">
        <f t="shared" ref="C553:C556" si="368">"证券卖出"</f>
        <v>证券卖出</v>
      </c>
      <c r="D553" s="4" t="str">
        <f t="shared" si="366"/>
        <v>600297</v>
      </c>
      <c r="E553" s="4" t="str">
        <f t="shared" si="367"/>
        <v>广汇汽车</v>
      </c>
      <c r="F553" s="4">
        <v>8.91</v>
      </c>
      <c r="G553" s="4">
        <v>2000</v>
      </c>
      <c r="H553" s="4">
        <v>17820</v>
      </c>
      <c r="I553" s="12">
        <v>17796.3</v>
      </c>
      <c r="J553" s="4">
        <v>52741</v>
      </c>
      <c r="K553" s="4">
        <v>0</v>
      </c>
    </row>
    <row r="554" spans="1:11">
      <c r="A554" s="4" t="str">
        <f>"20160712"</f>
        <v>20160712</v>
      </c>
      <c r="B554" s="4" t="str">
        <f>"20160712"</f>
        <v>20160712</v>
      </c>
      <c r="C554" s="4" t="str">
        <f t="shared" ref="C554:C558" si="369">"证券买入"</f>
        <v>证券买入</v>
      </c>
      <c r="D554" s="4" t="str">
        <f t="shared" si="366"/>
        <v>600297</v>
      </c>
      <c r="E554" s="4" t="str">
        <f t="shared" si="367"/>
        <v>广汇汽车</v>
      </c>
      <c r="F554" s="4">
        <v>8.82</v>
      </c>
      <c r="G554" s="4">
        <v>2000</v>
      </c>
      <c r="H554" s="4">
        <v>17640</v>
      </c>
      <c r="I554" s="12">
        <v>-17645.82</v>
      </c>
      <c r="J554" s="4">
        <v>35095.18</v>
      </c>
      <c r="K554" s="4">
        <v>2000</v>
      </c>
    </row>
    <row r="555" spans="1:11">
      <c r="A555" s="4" t="str">
        <f>"20160714"</f>
        <v>20160714</v>
      </c>
      <c r="B555" s="4" t="str">
        <f>"20160714"</f>
        <v>20160714</v>
      </c>
      <c r="C555" s="4" t="str">
        <f t="shared" si="368"/>
        <v>证券卖出</v>
      </c>
      <c r="D555" s="4" t="str">
        <f>"000667"</f>
        <v>000667</v>
      </c>
      <c r="E555" s="4" t="str">
        <f>"美好集团"</f>
        <v>美好集团</v>
      </c>
      <c r="F555" s="4">
        <v>3.9</v>
      </c>
      <c r="G555" s="4">
        <v>3000</v>
      </c>
      <c r="H555" s="4">
        <v>11700</v>
      </c>
      <c r="I555" s="12">
        <v>11683.3</v>
      </c>
      <c r="J555" s="4">
        <v>46778.48</v>
      </c>
      <c r="K555" s="4">
        <v>9000</v>
      </c>
    </row>
    <row r="556" spans="1:11">
      <c r="A556" s="4" t="str">
        <f t="shared" ref="A556:A558" si="370">"20160715"</f>
        <v>20160715</v>
      </c>
      <c r="B556" s="4" t="str">
        <f t="shared" ref="B556:B558" si="371">"20160715"</f>
        <v>20160715</v>
      </c>
      <c r="C556" s="4" t="str">
        <f t="shared" si="368"/>
        <v>证券卖出</v>
      </c>
      <c r="D556" s="4" t="str">
        <f>"600894"</f>
        <v>600894</v>
      </c>
      <c r="E556" s="4" t="str">
        <f>"广日股份"</f>
        <v>广日股份</v>
      </c>
      <c r="F556" s="4">
        <v>14.09</v>
      </c>
      <c r="G556" s="4">
        <v>2000</v>
      </c>
      <c r="H556" s="4">
        <v>28180</v>
      </c>
      <c r="I556" s="12">
        <v>28142.52</v>
      </c>
      <c r="J556" s="4">
        <v>74921</v>
      </c>
      <c r="K556" s="4">
        <v>0</v>
      </c>
    </row>
    <row r="557" spans="1:11">
      <c r="A557" s="4" t="str">
        <f t="shared" si="370"/>
        <v>20160715</v>
      </c>
      <c r="B557" s="4" t="str">
        <f t="shared" si="371"/>
        <v>20160715</v>
      </c>
      <c r="C557" s="4" t="str">
        <f t="shared" si="369"/>
        <v>证券买入</v>
      </c>
      <c r="D557" s="4" t="str">
        <f>"002183"</f>
        <v>002183</v>
      </c>
      <c r="E557" s="4" t="str">
        <f>"怡 亚 通"</f>
        <v>怡 亚 通</v>
      </c>
      <c r="F557" s="4">
        <v>14.18</v>
      </c>
      <c r="G557" s="4">
        <v>1000</v>
      </c>
      <c r="H557" s="4">
        <v>14180</v>
      </c>
      <c r="I557" s="12">
        <v>-14185</v>
      </c>
      <c r="J557" s="4">
        <v>60736</v>
      </c>
      <c r="K557" s="4">
        <v>1000</v>
      </c>
    </row>
    <row r="558" spans="1:11">
      <c r="A558" s="4" t="str">
        <f t="shared" si="370"/>
        <v>20160715</v>
      </c>
      <c r="B558" s="4" t="str">
        <f t="shared" si="371"/>
        <v>20160715</v>
      </c>
      <c r="C558" s="4" t="str">
        <f t="shared" si="369"/>
        <v>证券买入</v>
      </c>
      <c r="D558" s="4" t="str">
        <f>"600886"</f>
        <v>600886</v>
      </c>
      <c r="E558" s="4" t="str">
        <f>"国投电力"</f>
        <v>国投电力</v>
      </c>
      <c r="F558" s="4">
        <v>6.62</v>
      </c>
      <c r="G558" s="4">
        <v>2000</v>
      </c>
      <c r="H558" s="4">
        <v>13240</v>
      </c>
      <c r="I558" s="12">
        <v>-13245.26</v>
      </c>
      <c r="J558" s="4">
        <v>47490.74</v>
      </c>
      <c r="K558" s="4">
        <v>12000</v>
      </c>
    </row>
    <row r="559" spans="1:11">
      <c r="A559" s="4" t="str">
        <f>"20160718"</f>
        <v>20160718</v>
      </c>
      <c r="B559" s="4" t="str">
        <f>"20160718"</f>
        <v>20160718</v>
      </c>
      <c r="C559" s="4" t="str">
        <f t="shared" ref="C559:C564" si="372">"证券卖出"</f>
        <v>证券卖出</v>
      </c>
      <c r="D559" s="4" t="str">
        <f t="shared" ref="D559:D562" si="373">"600297"</f>
        <v>600297</v>
      </c>
      <c r="E559" s="4" t="str">
        <f t="shared" ref="E559:E562" si="374">"广汇汽车"</f>
        <v>广汇汽车</v>
      </c>
      <c r="F559" s="4">
        <v>8.93</v>
      </c>
      <c r="G559" s="4">
        <v>2000</v>
      </c>
      <c r="H559" s="4">
        <v>17860</v>
      </c>
      <c r="I559" s="12">
        <v>17836.24</v>
      </c>
      <c r="J559" s="4">
        <v>65326.98</v>
      </c>
      <c r="K559" s="4">
        <v>0</v>
      </c>
    </row>
    <row r="560" spans="1:11">
      <c r="A560" s="4" t="str">
        <f>"20160718"</f>
        <v>20160718</v>
      </c>
      <c r="B560" s="4" t="str">
        <f>"20160718"</f>
        <v>20160718</v>
      </c>
      <c r="C560" s="4" t="str">
        <f t="shared" ref="C560:C563" si="375">"证券买入"</f>
        <v>证券买入</v>
      </c>
      <c r="D560" s="4" t="str">
        <f>"002183"</f>
        <v>002183</v>
      </c>
      <c r="E560" s="4" t="str">
        <f>"怡 亚 通"</f>
        <v>怡 亚 通</v>
      </c>
      <c r="F560" s="4">
        <v>14.37</v>
      </c>
      <c r="G560" s="4">
        <v>1000</v>
      </c>
      <c r="H560" s="4">
        <v>14370</v>
      </c>
      <c r="I560" s="12">
        <v>-14375</v>
      </c>
      <c r="J560" s="4">
        <v>50951.98</v>
      </c>
      <c r="K560" s="4">
        <v>2000</v>
      </c>
    </row>
    <row r="561" spans="1:11">
      <c r="A561" s="4" t="str">
        <f>"20160719"</f>
        <v>20160719</v>
      </c>
      <c r="B561" s="4" t="str">
        <f>"20160719"</f>
        <v>20160719</v>
      </c>
      <c r="C561" s="4" t="str">
        <f t="shared" si="375"/>
        <v>证券买入</v>
      </c>
      <c r="D561" s="4" t="str">
        <f t="shared" si="373"/>
        <v>600297</v>
      </c>
      <c r="E561" s="4" t="str">
        <f t="shared" si="374"/>
        <v>广汇汽车</v>
      </c>
      <c r="F561" s="4">
        <v>8.81</v>
      </c>
      <c r="G561" s="4">
        <v>2000</v>
      </c>
      <c r="H561" s="4">
        <v>17620</v>
      </c>
      <c r="I561" s="12">
        <v>-17625.81</v>
      </c>
      <c r="J561" s="4">
        <v>33326.17</v>
      </c>
      <c r="K561" s="4">
        <v>2000</v>
      </c>
    </row>
    <row r="562" spans="1:11">
      <c r="A562" s="4" t="str">
        <f>"20160720"</f>
        <v>20160720</v>
      </c>
      <c r="B562" s="4" t="str">
        <f>"20160720"</f>
        <v>20160720</v>
      </c>
      <c r="C562" s="4" t="str">
        <f t="shared" si="372"/>
        <v>证券卖出</v>
      </c>
      <c r="D562" s="4" t="str">
        <f t="shared" si="373"/>
        <v>600297</v>
      </c>
      <c r="E562" s="4" t="str">
        <f t="shared" si="374"/>
        <v>广汇汽车</v>
      </c>
      <c r="F562" s="4">
        <v>9.17</v>
      </c>
      <c r="G562" s="4">
        <v>2000</v>
      </c>
      <c r="H562" s="4">
        <v>18340</v>
      </c>
      <c r="I562" s="12">
        <v>18315.6</v>
      </c>
      <c r="J562" s="4">
        <v>51641.77</v>
      </c>
      <c r="K562" s="4">
        <v>0</v>
      </c>
    </row>
    <row r="563" spans="1:11">
      <c r="A563" s="4" t="str">
        <f>"20160720"</f>
        <v>20160720</v>
      </c>
      <c r="B563" s="4" t="str">
        <f>"20160720"</f>
        <v>20160720</v>
      </c>
      <c r="C563" s="4" t="str">
        <f t="shared" si="375"/>
        <v>证券买入</v>
      </c>
      <c r="D563" s="4" t="str">
        <f t="shared" ref="D563:D568" si="376">"002183"</f>
        <v>002183</v>
      </c>
      <c r="E563" s="4" t="str">
        <f t="shared" ref="E563:E568" si="377">"怡 亚 通"</f>
        <v>怡 亚 通</v>
      </c>
      <c r="F563" s="4">
        <v>14.07</v>
      </c>
      <c r="G563" s="4">
        <v>1000</v>
      </c>
      <c r="H563" s="4">
        <v>14070</v>
      </c>
      <c r="I563" s="12">
        <v>-14075</v>
      </c>
      <c r="J563" s="4">
        <v>37566.77</v>
      </c>
      <c r="K563" s="4">
        <v>3000</v>
      </c>
    </row>
    <row r="564" spans="1:11">
      <c r="A564" s="4" t="str">
        <f t="shared" ref="A564:A566" si="378">"20160722"</f>
        <v>20160722</v>
      </c>
      <c r="B564" s="4" t="str">
        <f t="shared" ref="B564:B566" si="379">"20160722"</f>
        <v>20160722</v>
      </c>
      <c r="C564" s="4" t="str">
        <f t="shared" si="372"/>
        <v>证券卖出</v>
      </c>
      <c r="D564" s="4" t="str">
        <f>"000667"</f>
        <v>000667</v>
      </c>
      <c r="E564" s="4" t="str">
        <f>"美好集团"</f>
        <v>美好集团</v>
      </c>
      <c r="F564" s="4">
        <v>3.91</v>
      </c>
      <c r="G564" s="4">
        <v>9000</v>
      </c>
      <c r="H564" s="4">
        <v>35190</v>
      </c>
      <c r="I564" s="12">
        <v>35143.9</v>
      </c>
      <c r="J564" s="4">
        <v>72710.67</v>
      </c>
      <c r="K564" s="4">
        <v>0</v>
      </c>
    </row>
    <row r="565" spans="1:11">
      <c r="A565" s="4" t="str">
        <f t="shared" si="378"/>
        <v>20160722</v>
      </c>
      <c r="B565" s="4" t="str">
        <f t="shared" si="379"/>
        <v>20160722</v>
      </c>
      <c r="C565" s="4" t="str">
        <f t="shared" ref="C565:C568" si="380">"证券买入"</f>
        <v>证券买入</v>
      </c>
      <c r="D565" s="4" t="str">
        <f>"600886"</f>
        <v>600886</v>
      </c>
      <c r="E565" s="4" t="str">
        <f>"国投电力"</f>
        <v>国投电力</v>
      </c>
      <c r="F565" s="4">
        <v>6.66</v>
      </c>
      <c r="G565" s="4">
        <v>2000</v>
      </c>
      <c r="H565" s="4">
        <v>13320</v>
      </c>
      <c r="I565" s="12">
        <v>-13325.27</v>
      </c>
      <c r="J565" s="4">
        <v>59385.4</v>
      </c>
      <c r="K565" s="4">
        <v>14000</v>
      </c>
    </row>
    <row r="566" spans="1:11">
      <c r="A566" s="4" t="str">
        <f t="shared" si="378"/>
        <v>20160722</v>
      </c>
      <c r="B566" s="4" t="str">
        <f t="shared" si="379"/>
        <v>20160722</v>
      </c>
      <c r="C566" s="4" t="str">
        <f t="shared" si="380"/>
        <v>证券买入</v>
      </c>
      <c r="D566" s="4" t="str">
        <f t="shared" si="376"/>
        <v>002183</v>
      </c>
      <c r="E566" s="4" t="str">
        <f t="shared" si="377"/>
        <v>怡 亚 通</v>
      </c>
      <c r="F566" s="4">
        <v>13.93</v>
      </c>
      <c r="G566" s="4">
        <v>1000</v>
      </c>
      <c r="H566" s="4">
        <v>13930</v>
      </c>
      <c r="I566" s="12">
        <v>-13935</v>
      </c>
      <c r="J566" s="4">
        <v>45450.4</v>
      </c>
      <c r="K566" s="4">
        <v>4000</v>
      </c>
    </row>
    <row r="567" spans="1:11">
      <c r="A567" s="4" t="str">
        <f>"20160727"</f>
        <v>20160727</v>
      </c>
      <c r="B567" s="4" t="str">
        <f>"20160727"</f>
        <v>20160727</v>
      </c>
      <c r="C567" s="4" t="str">
        <f t="shared" si="380"/>
        <v>证券买入</v>
      </c>
      <c r="D567" s="4" t="str">
        <f t="shared" si="376"/>
        <v>002183</v>
      </c>
      <c r="E567" s="4" t="str">
        <f t="shared" si="377"/>
        <v>怡 亚 通</v>
      </c>
      <c r="F567" s="4">
        <v>13.75</v>
      </c>
      <c r="G567" s="4">
        <v>1000</v>
      </c>
      <c r="H567" s="4">
        <v>13750</v>
      </c>
      <c r="I567" s="12">
        <v>-13755</v>
      </c>
      <c r="J567" s="4">
        <v>31695.4</v>
      </c>
      <c r="K567" s="4">
        <v>5000</v>
      </c>
    </row>
    <row r="568" spans="1:11">
      <c r="A568" s="4" t="str">
        <f>"20160727"</f>
        <v>20160727</v>
      </c>
      <c r="B568" s="4" t="str">
        <f>"20160727"</f>
        <v>20160727</v>
      </c>
      <c r="C568" s="4" t="str">
        <f t="shared" si="380"/>
        <v>证券买入</v>
      </c>
      <c r="D568" s="4" t="str">
        <f t="shared" si="376"/>
        <v>002183</v>
      </c>
      <c r="E568" s="4" t="str">
        <f t="shared" si="377"/>
        <v>怡 亚 通</v>
      </c>
      <c r="F568" s="4">
        <v>13.17</v>
      </c>
      <c r="G568" s="4">
        <v>1000</v>
      </c>
      <c r="H568" s="4">
        <v>13170</v>
      </c>
      <c r="I568" s="12">
        <v>-13175</v>
      </c>
      <c r="J568" s="4">
        <v>18520.4</v>
      </c>
      <c r="K568" s="4">
        <v>6000</v>
      </c>
    </row>
    <row r="569" spans="1:11">
      <c r="A569" s="4" t="str">
        <f t="shared" ref="A569:A573" si="381">"20160728"</f>
        <v>20160728</v>
      </c>
      <c r="B569" s="4" t="str">
        <f t="shared" ref="B569:B573" si="382">"20160728"</f>
        <v>20160728</v>
      </c>
      <c r="C569" s="4" t="str">
        <f>"证券卖出"</f>
        <v>证券卖出</v>
      </c>
      <c r="D569" s="4" t="str">
        <f>"600886"</f>
        <v>600886</v>
      </c>
      <c r="E569" s="4" t="str">
        <f>"国投电力"</f>
        <v>国投电力</v>
      </c>
      <c r="F569" s="4">
        <v>7.08</v>
      </c>
      <c r="G569" s="4">
        <v>4000</v>
      </c>
      <c r="H569" s="4">
        <v>28320</v>
      </c>
      <c r="I569" s="12">
        <v>28282.33</v>
      </c>
      <c r="J569" s="4">
        <v>46802.73</v>
      </c>
      <c r="K569" s="4">
        <v>10000</v>
      </c>
    </row>
    <row r="570" spans="1:11">
      <c r="A570" s="4" t="str">
        <f t="shared" si="381"/>
        <v>20160728</v>
      </c>
      <c r="B570" s="4" t="str">
        <f t="shared" si="382"/>
        <v>20160728</v>
      </c>
      <c r="C570" s="4" t="str">
        <f t="shared" ref="C570:C573" si="383">"证券买入"</f>
        <v>证券买入</v>
      </c>
      <c r="D570" s="4" t="str">
        <f>"002183"</f>
        <v>002183</v>
      </c>
      <c r="E570" s="4" t="str">
        <f>"怡 亚 通"</f>
        <v>怡 亚 通</v>
      </c>
      <c r="F570" s="4">
        <v>12.7</v>
      </c>
      <c r="G570" s="4">
        <v>1000</v>
      </c>
      <c r="H570" s="4">
        <v>12700</v>
      </c>
      <c r="I570" s="12">
        <v>-12705</v>
      </c>
      <c r="J570" s="4">
        <v>34097.73</v>
      </c>
      <c r="K570" s="4">
        <v>7000</v>
      </c>
    </row>
    <row r="571" spans="1:11">
      <c r="A571" s="4" t="str">
        <f t="shared" si="381"/>
        <v>20160728</v>
      </c>
      <c r="B571" s="4" t="str">
        <f t="shared" si="382"/>
        <v>20160728</v>
      </c>
      <c r="C571" s="4" t="str">
        <f>"证券卖出"</f>
        <v>证券卖出</v>
      </c>
      <c r="D571" s="4" t="str">
        <f>"002183"</f>
        <v>002183</v>
      </c>
      <c r="E571" s="4" t="str">
        <f>"怡 亚 通"</f>
        <v>怡 亚 通</v>
      </c>
      <c r="F571" s="4">
        <v>12.46</v>
      </c>
      <c r="G571" s="4">
        <v>3000</v>
      </c>
      <c r="H571" s="4">
        <v>37380</v>
      </c>
      <c r="I571" s="12">
        <v>37331.03</v>
      </c>
      <c r="J571" s="4">
        <v>71428.76</v>
      </c>
      <c r="K571" s="4">
        <v>4000</v>
      </c>
    </row>
    <row r="572" spans="1:11">
      <c r="A572" s="4" t="str">
        <f t="shared" si="381"/>
        <v>20160728</v>
      </c>
      <c r="B572" s="4" t="str">
        <f t="shared" si="382"/>
        <v>20160728</v>
      </c>
      <c r="C572" s="4" t="str">
        <f t="shared" si="383"/>
        <v>证券买入</v>
      </c>
      <c r="D572" s="4" t="str">
        <f>"510300"</f>
        <v>510300</v>
      </c>
      <c r="E572" s="4" t="str">
        <f>"300ETF"</f>
        <v>300ETF</v>
      </c>
      <c r="F572" s="4">
        <v>3.263</v>
      </c>
      <c r="G572" s="4">
        <v>2000</v>
      </c>
      <c r="H572" s="4">
        <v>6526</v>
      </c>
      <c r="I572" s="12">
        <v>-6531</v>
      </c>
      <c r="J572" s="4">
        <v>64897.76</v>
      </c>
      <c r="K572" s="4">
        <v>4000</v>
      </c>
    </row>
    <row r="573" spans="1:11">
      <c r="A573" s="4" t="str">
        <f t="shared" si="381"/>
        <v>20160728</v>
      </c>
      <c r="B573" s="4" t="str">
        <f t="shared" si="382"/>
        <v>20160728</v>
      </c>
      <c r="C573" s="4" t="str">
        <f t="shared" si="383"/>
        <v>证券买入</v>
      </c>
      <c r="D573" s="4" t="str">
        <f>"600575"</f>
        <v>600575</v>
      </c>
      <c r="E573" s="4" t="str">
        <f>"皖江物流"</f>
        <v>皖江物流</v>
      </c>
      <c r="F573" s="4">
        <v>4.23</v>
      </c>
      <c r="G573" s="4">
        <v>3000</v>
      </c>
      <c r="H573" s="4">
        <v>12690</v>
      </c>
      <c r="I573" s="12">
        <v>-12695.25</v>
      </c>
      <c r="J573" s="4">
        <v>52202.51</v>
      </c>
      <c r="K573" s="4">
        <v>3000</v>
      </c>
    </row>
    <row r="574" spans="1:11">
      <c r="A574" s="4" t="str">
        <f t="shared" ref="A574:A576" si="384">"20160729"</f>
        <v>20160729</v>
      </c>
      <c r="B574" s="4"/>
      <c r="C574" s="4" t="str">
        <f t="shared" ref="C574:C576" si="385">"股息红利差异扣税"</f>
        <v>股息红利差异扣税</v>
      </c>
      <c r="D574" s="4" t="str">
        <f t="shared" ref="D574:D576" si="386">"600886"</f>
        <v>600886</v>
      </c>
      <c r="E574" s="4" t="str">
        <f t="shared" ref="E574:E576" si="387">"国投电力"</f>
        <v>国投电力</v>
      </c>
      <c r="F574" s="4">
        <v>0</v>
      </c>
      <c r="G574" s="4">
        <v>0</v>
      </c>
      <c r="H574" s="4">
        <v>0</v>
      </c>
      <c r="I574" s="12">
        <v>-27.99</v>
      </c>
      <c r="J574" s="4">
        <v>52174.52</v>
      </c>
      <c r="K574" s="4">
        <v>0</v>
      </c>
    </row>
    <row r="575" spans="1:11">
      <c r="A575" s="4" t="str">
        <f t="shared" si="384"/>
        <v>20160729</v>
      </c>
      <c r="B575" s="4"/>
      <c r="C575" s="4" t="str">
        <f t="shared" si="385"/>
        <v>股息红利差异扣税</v>
      </c>
      <c r="D575" s="4" t="str">
        <f t="shared" si="386"/>
        <v>600886</v>
      </c>
      <c r="E575" s="4" t="str">
        <f t="shared" si="387"/>
        <v>国投电力</v>
      </c>
      <c r="F575" s="4">
        <v>0</v>
      </c>
      <c r="G575" s="4">
        <v>0</v>
      </c>
      <c r="H575" s="4">
        <v>0</v>
      </c>
      <c r="I575" s="12">
        <v>-55.99</v>
      </c>
      <c r="J575" s="4">
        <v>52118.53</v>
      </c>
      <c r="K575" s="4">
        <v>0</v>
      </c>
    </row>
    <row r="576" spans="1:11">
      <c r="A576" s="4" t="str">
        <f t="shared" si="384"/>
        <v>20160729</v>
      </c>
      <c r="B576" s="4"/>
      <c r="C576" s="4" t="str">
        <f t="shared" si="385"/>
        <v>股息红利差异扣税</v>
      </c>
      <c r="D576" s="4" t="str">
        <f t="shared" si="386"/>
        <v>600886</v>
      </c>
      <c r="E576" s="4" t="str">
        <f t="shared" si="387"/>
        <v>国投电力</v>
      </c>
      <c r="F576" s="4">
        <v>0</v>
      </c>
      <c r="G576" s="4">
        <v>0</v>
      </c>
      <c r="H576" s="4">
        <v>0</v>
      </c>
      <c r="I576" s="12">
        <v>-27.99</v>
      </c>
      <c r="J576" s="4">
        <v>52090.54</v>
      </c>
      <c r="K576" s="4">
        <v>0</v>
      </c>
    </row>
    <row r="577" spans="1:11">
      <c r="A577" s="4" t="str">
        <f t="shared" ref="A577:A580" si="388">"20160801"</f>
        <v>20160801</v>
      </c>
      <c r="B577" s="4" t="str">
        <f t="shared" ref="B577:B580" si="389">"20160801"</f>
        <v>20160801</v>
      </c>
      <c r="C577" s="4" t="str">
        <f t="shared" ref="C577:C584" si="390">"证券卖出"</f>
        <v>证券卖出</v>
      </c>
      <c r="D577" s="4" t="str">
        <f t="shared" ref="D577:D582" si="391">"510300"</f>
        <v>510300</v>
      </c>
      <c r="E577" s="4" t="str">
        <f t="shared" ref="E577:E582" si="392">"300ETF"</f>
        <v>300ETF</v>
      </c>
      <c r="F577" s="4">
        <v>3.243</v>
      </c>
      <c r="G577" s="4">
        <v>2000</v>
      </c>
      <c r="H577" s="4">
        <v>6486</v>
      </c>
      <c r="I577" s="12">
        <v>6481</v>
      </c>
      <c r="J577" s="4">
        <v>58571.54</v>
      </c>
      <c r="K577" s="4">
        <v>2000</v>
      </c>
    </row>
    <row r="578" spans="1:11">
      <c r="A578" s="4" t="str">
        <f t="shared" si="388"/>
        <v>20160801</v>
      </c>
      <c r="B578" s="4" t="str">
        <f t="shared" si="389"/>
        <v>20160801</v>
      </c>
      <c r="C578" s="4" t="str">
        <f t="shared" si="390"/>
        <v>证券卖出</v>
      </c>
      <c r="D578" s="4" t="str">
        <f>"600575"</f>
        <v>600575</v>
      </c>
      <c r="E578" s="4" t="str">
        <f>"皖江物流"</f>
        <v>皖江物流</v>
      </c>
      <c r="F578" s="4">
        <v>4.2</v>
      </c>
      <c r="G578" s="4">
        <v>3000</v>
      </c>
      <c r="H578" s="4">
        <v>12600</v>
      </c>
      <c r="I578" s="12">
        <v>12582.15</v>
      </c>
      <c r="J578" s="4">
        <v>71153.69</v>
      </c>
      <c r="K578" s="4">
        <v>0</v>
      </c>
    </row>
    <row r="579" spans="1:11">
      <c r="A579" s="4" t="str">
        <f t="shared" si="388"/>
        <v>20160801</v>
      </c>
      <c r="B579" s="4" t="str">
        <f t="shared" si="389"/>
        <v>20160801</v>
      </c>
      <c r="C579" s="4" t="str">
        <f t="shared" ref="C579:C581" si="393">"证券买入"</f>
        <v>证券买入</v>
      </c>
      <c r="D579" s="4" t="str">
        <f t="shared" si="391"/>
        <v>510300</v>
      </c>
      <c r="E579" s="4" t="str">
        <f t="shared" si="392"/>
        <v>300ETF</v>
      </c>
      <c r="F579" s="4">
        <v>3.221</v>
      </c>
      <c r="G579" s="4">
        <v>2000</v>
      </c>
      <c r="H579" s="4">
        <v>6442</v>
      </c>
      <c r="I579" s="12">
        <v>-6447</v>
      </c>
      <c r="J579" s="4">
        <v>64706.69</v>
      </c>
      <c r="K579" s="4">
        <v>4000</v>
      </c>
    </row>
    <row r="580" spans="1:11">
      <c r="A580" s="4" t="str">
        <f t="shared" si="388"/>
        <v>20160801</v>
      </c>
      <c r="B580" s="4" t="str">
        <f t="shared" si="389"/>
        <v>20160801</v>
      </c>
      <c r="C580" s="4" t="str">
        <f t="shared" si="393"/>
        <v>证券买入</v>
      </c>
      <c r="D580" s="4" t="str">
        <f t="shared" ref="D580:D586" si="394">"000667"</f>
        <v>000667</v>
      </c>
      <c r="E580" s="4" t="str">
        <f t="shared" ref="E580:E586" si="395">"美好集团"</f>
        <v>美好集团</v>
      </c>
      <c r="F580" s="4">
        <v>3.71</v>
      </c>
      <c r="G580" s="4">
        <v>3000</v>
      </c>
      <c r="H580" s="4">
        <v>11130</v>
      </c>
      <c r="I580" s="12">
        <v>-11135</v>
      </c>
      <c r="J580" s="4">
        <v>53571.69</v>
      </c>
      <c r="K580" s="4">
        <v>3000</v>
      </c>
    </row>
    <row r="581" spans="1:11">
      <c r="A581" s="4" t="str">
        <f>"20160803"</f>
        <v>20160803</v>
      </c>
      <c r="B581" s="4" t="str">
        <f>"20160803"</f>
        <v>20160803</v>
      </c>
      <c r="C581" s="4" t="str">
        <f t="shared" si="393"/>
        <v>证券买入</v>
      </c>
      <c r="D581" s="4" t="str">
        <f>"600219"</f>
        <v>600219</v>
      </c>
      <c r="E581" s="4" t="str">
        <f>"南山铝业"</f>
        <v>南山铝业</v>
      </c>
      <c r="F581" s="4">
        <v>7.64</v>
      </c>
      <c r="G581" s="4">
        <v>500</v>
      </c>
      <c r="H581" s="4">
        <v>3820</v>
      </c>
      <c r="I581" s="12">
        <v>-3825.08</v>
      </c>
      <c r="J581" s="4">
        <v>49746.61</v>
      </c>
      <c r="K581" s="4">
        <v>5000</v>
      </c>
    </row>
    <row r="582" spans="1:11">
      <c r="A582" s="4" t="str">
        <f>"20160804"</f>
        <v>20160804</v>
      </c>
      <c r="B582" s="4" t="str">
        <f>"20160804"</f>
        <v>20160804</v>
      </c>
      <c r="C582" s="4" t="str">
        <f t="shared" si="390"/>
        <v>证券卖出</v>
      </c>
      <c r="D582" s="4" t="str">
        <f t="shared" si="391"/>
        <v>510300</v>
      </c>
      <c r="E582" s="4" t="str">
        <f t="shared" si="392"/>
        <v>300ETF</v>
      </c>
      <c r="F582" s="4">
        <v>3.237</v>
      </c>
      <c r="G582" s="4">
        <v>2000</v>
      </c>
      <c r="H582" s="4">
        <v>6474</v>
      </c>
      <c r="I582" s="12">
        <v>6469</v>
      </c>
      <c r="J582" s="4">
        <v>56215.61</v>
      </c>
      <c r="K582" s="4">
        <v>2000</v>
      </c>
    </row>
    <row r="583" spans="1:11">
      <c r="A583" s="4" t="str">
        <f>"20160804"</f>
        <v>20160804</v>
      </c>
      <c r="B583" s="4" t="str">
        <f>"20160804"</f>
        <v>20160804</v>
      </c>
      <c r="C583" s="4" t="str">
        <f t="shared" si="390"/>
        <v>证券卖出</v>
      </c>
      <c r="D583" s="4" t="str">
        <f t="shared" si="394"/>
        <v>000667</v>
      </c>
      <c r="E583" s="4" t="str">
        <f t="shared" si="395"/>
        <v>美好集团</v>
      </c>
      <c r="F583" s="4">
        <v>3.91</v>
      </c>
      <c r="G583" s="4">
        <v>3000</v>
      </c>
      <c r="H583" s="4">
        <v>11730</v>
      </c>
      <c r="I583" s="12">
        <v>11713.27</v>
      </c>
      <c r="J583" s="4">
        <v>67928.88</v>
      </c>
      <c r="K583" s="4">
        <v>0</v>
      </c>
    </row>
    <row r="584" spans="1:11">
      <c r="A584" s="4" t="str">
        <f>"20160805"</f>
        <v>20160805</v>
      </c>
      <c r="B584" s="4" t="str">
        <f>"20160805"</f>
        <v>20160805</v>
      </c>
      <c r="C584" s="4" t="str">
        <f t="shared" si="390"/>
        <v>证券卖出</v>
      </c>
      <c r="D584" s="4" t="str">
        <f>"600219"</f>
        <v>600219</v>
      </c>
      <c r="E584" s="4" t="str">
        <f>"南山铝业"</f>
        <v>南山铝业</v>
      </c>
      <c r="F584" s="4">
        <v>7.81</v>
      </c>
      <c r="G584" s="4">
        <v>500</v>
      </c>
      <c r="H584" s="4">
        <v>3905</v>
      </c>
      <c r="I584" s="12">
        <v>3896.01</v>
      </c>
      <c r="J584" s="4">
        <v>71824.89</v>
      </c>
      <c r="K584" s="4">
        <v>4500</v>
      </c>
    </row>
    <row r="585" spans="1:11">
      <c r="A585" s="4" t="str">
        <f>"20160808"</f>
        <v>20160808</v>
      </c>
      <c r="B585" s="4" t="str">
        <f>"20160808"</f>
        <v>20160808</v>
      </c>
      <c r="C585" s="4" t="str">
        <f t="shared" ref="C585:C589" si="396">"证券买入"</f>
        <v>证券买入</v>
      </c>
      <c r="D585" s="4" t="str">
        <f t="shared" si="394"/>
        <v>000667</v>
      </c>
      <c r="E585" s="4" t="str">
        <f t="shared" si="395"/>
        <v>美好集团</v>
      </c>
      <c r="F585" s="4">
        <v>3.94</v>
      </c>
      <c r="G585" s="4">
        <v>10000</v>
      </c>
      <c r="H585" s="4">
        <v>39400</v>
      </c>
      <c r="I585" s="12">
        <v>-39412.21</v>
      </c>
      <c r="J585" s="4">
        <v>32412.68</v>
      </c>
      <c r="K585" s="4">
        <v>10000</v>
      </c>
    </row>
    <row r="586" spans="1:11">
      <c r="A586" s="4" t="str">
        <f t="shared" ref="A586:A588" si="397">"20160815"</f>
        <v>20160815</v>
      </c>
      <c r="B586" s="4" t="str">
        <f t="shared" ref="B586:B588" si="398">"20160815"</f>
        <v>20160815</v>
      </c>
      <c r="C586" s="4" t="str">
        <f>"证券卖出"</f>
        <v>证券卖出</v>
      </c>
      <c r="D586" s="4" t="str">
        <f t="shared" si="394"/>
        <v>000667</v>
      </c>
      <c r="E586" s="4" t="str">
        <f t="shared" si="395"/>
        <v>美好集团</v>
      </c>
      <c r="F586" s="4">
        <v>4.05</v>
      </c>
      <c r="G586" s="4">
        <v>10000</v>
      </c>
      <c r="H586" s="4">
        <v>40500</v>
      </c>
      <c r="I586" s="12">
        <v>40446.93</v>
      </c>
      <c r="J586" s="4">
        <v>72859.61</v>
      </c>
      <c r="K586" s="4">
        <v>0</v>
      </c>
    </row>
    <row r="587" spans="1:11">
      <c r="A587" s="4" t="str">
        <f t="shared" si="397"/>
        <v>20160815</v>
      </c>
      <c r="B587" s="4" t="str">
        <f t="shared" si="398"/>
        <v>20160815</v>
      </c>
      <c r="C587" s="4" t="str">
        <f t="shared" si="396"/>
        <v>证券买入</v>
      </c>
      <c r="D587" s="4" t="str">
        <f>"511990"</f>
        <v>511990</v>
      </c>
      <c r="E587" s="4" t="str">
        <f>"华宝添益"</f>
        <v>华宝添益</v>
      </c>
      <c r="F587" s="4">
        <v>99.988</v>
      </c>
      <c r="G587" s="4">
        <v>400</v>
      </c>
      <c r="H587" s="4">
        <v>39995.2</v>
      </c>
      <c r="I587" s="12">
        <v>-39995.2</v>
      </c>
      <c r="J587" s="4">
        <v>32864.41</v>
      </c>
      <c r="K587" s="4">
        <v>400</v>
      </c>
    </row>
    <row r="588" spans="1:11">
      <c r="A588" s="4" t="str">
        <f t="shared" si="397"/>
        <v>20160815</v>
      </c>
      <c r="B588" s="4" t="str">
        <f t="shared" si="398"/>
        <v>20160815</v>
      </c>
      <c r="C588" s="4" t="str">
        <f t="shared" si="396"/>
        <v>证券买入</v>
      </c>
      <c r="D588" s="4" t="str">
        <f>"511990"</f>
        <v>511990</v>
      </c>
      <c r="E588" s="4" t="str">
        <f>"华宝添益"</f>
        <v>华宝添益</v>
      </c>
      <c r="F588" s="4">
        <v>99.988</v>
      </c>
      <c r="G588" s="4">
        <v>100</v>
      </c>
      <c r="H588" s="4">
        <v>9998.8</v>
      </c>
      <c r="I588" s="12">
        <v>-9998.8</v>
      </c>
      <c r="J588" s="4">
        <v>22865.61</v>
      </c>
      <c r="K588" s="4">
        <v>500</v>
      </c>
    </row>
    <row r="589" spans="1:11">
      <c r="A589" s="4" t="str">
        <f>"20160816"</f>
        <v>20160816</v>
      </c>
      <c r="B589" s="4" t="str">
        <f>"20160816"</f>
        <v>20160816</v>
      </c>
      <c r="C589" s="4" t="str">
        <f t="shared" si="396"/>
        <v>证券买入</v>
      </c>
      <c r="D589" s="4" t="str">
        <f t="shared" ref="D589:D591" si="399">"600886"</f>
        <v>600886</v>
      </c>
      <c r="E589" s="4" t="str">
        <f t="shared" ref="E589:E591" si="400">"国投电力"</f>
        <v>国投电力</v>
      </c>
      <c r="F589" s="4">
        <v>7.4</v>
      </c>
      <c r="G589" s="4">
        <v>2000</v>
      </c>
      <c r="H589" s="4">
        <v>14800</v>
      </c>
      <c r="I589" s="12">
        <v>-14805.3</v>
      </c>
      <c r="J589" s="4">
        <v>8060.31</v>
      </c>
      <c r="K589" s="4">
        <v>12000</v>
      </c>
    </row>
    <row r="590" spans="1:11">
      <c r="A590" s="4" t="str">
        <f>"20160817"</f>
        <v>20160817</v>
      </c>
      <c r="B590" s="4" t="str">
        <f>"20160817"</f>
        <v>20160817</v>
      </c>
      <c r="C590" s="4" t="str">
        <f>"证券卖出"</f>
        <v>证券卖出</v>
      </c>
      <c r="D590" s="4" t="str">
        <f t="shared" si="399"/>
        <v>600886</v>
      </c>
      <c r="E590" s="4" t="str">
        <f t="shared" si="400"/>
        <v>国投电力</v>
      </c>
      <c r="F590" s="4">
        <v>7.48</v>
      </c>
      <c r="G590" s="4">
        <v>2000</v>
      </c>
      <c r="H590" s="4">
        <v>14960</v>
      </c>
      <c r="I590" s="12">
        <v>14939.74</v>
      </c>
      <c r="J590" s="4">
        <v>23000.05</v>
      </c>
      <c r="K590" s="4">
        <v>10000</v>
      </c>
    </row>
    <row r="591" spans="1:11">
      <c r="A591" s="4" t="str">
        <f>"20160818"</f>
        <v>20160818</v>
      </c>
      <c r="B591" s="4" t="str">
        <f>"0"</f>
        <v>0</v>
      </c>
      <c r="C591" s="4" t="str">
        <f>"股息红利差异扣税"</f>
        <v>股息红利差异扣税</v>
      </c>
      <c r="D591" s="4" t="str">
        <f t="shared" si="399"/>
        <v>600886</v>
      </c>
      <c r="E591" s="4" t="str">
        <f t="shared" si="400"/>
        <v>国投电力</v>
      </c>
      <c r="F591" s="4">
        <v>0</v>
      </c>
      <c r="G591" s="4">
        <v>0</v>
      </c>
      <c r="H591" s="4">
        <v>0</v>
      </c>
      <c r="I591" s="12">
        <v>-55.99</v>
      </c>
      <c r="J591" s="4">
        <v>22944.06</v>
      </c>
      <c r="K591" s="4">
        <v>0</v>
      </c>
    </row>
    <row r="592" spans="1:11">
      <c r="A592" s="4" t="str">
        <f>"20160818"</f>
        <v>20160818</v>
      </c>
      <c r="B592" s="4" t="str">
        <f>"20160818"</f>
        <v>20160818</v>
      </c>
      <c r="C592" s="4" t="str">
        <f>"证券买入"</f>
        <v>证券买入</v>
      </c>
      <c r="D592" s="4" t="str">
        <f>"600165"</f>
        <v>600165</v>
      </c>
      <c r="E592" s="4" t="str">
        <f>"新日恒力"</f>
        <v>新日恒力</v>
      </c>
      <c r="F592" s="4">
        <v>14.13</v>
      </c>
      <c r="G592" s="4">
        <v>500</v>
      </c>
      <c r="H592" s="4">
        <v>7065</v>
      </c>
      <c r="I592" s="12">
        <v>-7070.14</v>
      </c>
      <c r="J592" s="4">
        <v>15873.92</v>
      </c>
      <c r="K592" s="4">
        <v>500</v>
      </c>
    </row>
    <row r="593" spans="1:11">
      <c r="A593" s="4" t="str">
        <f>"20160822"</f>
        <v>20160822</v>
      </c>
      <c r="B593" s="4" t="str">
        <f>"20160822"</f>
        <v>20160822</v>
      </c>
      <c r="C593" s="4" t="str">
        <f>"证券买入"</f>
        <v>证券买入</v>
      </c>
      <c r="D593" s="4" t="str">
        <f t="shared" ref="D593:D595" si="401">"600886"</f>
        <v>600886</v>
      </c>
      <c r="E593" s="4" t="str">
        <f t="shared" ref="E593:E595" si="402">"国投电力"</f>
        <v>国投电力</v>
      </c>
      <c r="F593" s="4">
        <v>7.28</v>
      </c>
      <c r="G593" s="4">
        <v>2000</v>
      </c>
      <c r="H593" s="4">
        <v>14560</v>
      </c>
      <c r="I593" s="12">
        <v>-14565.29</v>
      </c>
      <c r="J593" s="4">
        <v>1308.63</v>
      </c>
      <c r="K593" s="4">
        <v>12000</v>
      </c>
    </row>
    <row r="594" spans="1:11">
      <c r="A594" s="4" t="str">
        <f>"20160824"</f>
        <v>20160824</v>
      </c>
      <c r="B594" s="4" t="str">
        <f>"20160824"</f>
        <v>20160824</v>
      </c>
      <c r="C594" s="4" t="str">
        <f>"证券卖出"</f>
        <v>证券卖出</v>
      </c>
      <c r="D594" s="4" t="str">
        <f t="shared" si="401"/>
        <v>600886</v>
      </c>
      <c r="E594" s="4" t="str">
        <f t="shared" si="402"/>
        <v>国投电力</v>
      </c>
      <c r="F594" s="4">
        <v>7.15</v>
      </c>
      <c r="G594" s="4">
        <v>10000</v>
      </c>
      <c r="H594" s="4">
        <v>71500</v>
      </c>
      <c r="I594" s="12">
        <v>71404.89</v>
      </c>
      <c r="J594" s="4">
        <v>72713.52</v>
      </c>
      <c r="K594" s="4">
        <v>2000</v>
      </c>
    </row>
    <row r="595" spans="1:11">
      <c r="A595" s="4" t="str">
        <f>"20160825"</f>
        <v>20160825</v>
      </c>
      <c r="B595" s="4" t="str">
        <f>"0"</f>
        <v>0</v>
      </c>
      <c r="C595" s="4" t="str">
        <f>"股息红利差异扣税"</f>
        <v>股息红利差异扣税</v>
      </c>
      <c r="D595" s="4" t="str">
        <f t="shared" si="401"/>
        <v>600886</v>
      </c>
      <c r="E595" s="4" t="str">
        <f t="shared" si="402"/>
        <v>国投电力</v>
      </c>
      <c r="F595" s="4">
        <v>0</v>
      </c>
      <c r="G595" s="4">
        <v>0</v>
      </c>
      <c r="H595" s="4">
        <v>0</v>
      </c>
      <c r="I595" s="12">
        <v>-111.97</v>
      </c>
      <c r="J595" s="4">
        <v>72601.55</v>
      </c>
      <c r="K595" s="4">
        <v>0</v>
      </c>
    </row>
    <row r="596" spans="1:11">
      <c r="A596" s="4" t="str">
        <f>"20160825"</f>
        <v>20160825</v>
      </c>
      <c r="B596" s="4" t="str">
        <f>"20160825"</f>
        <v>20160825</v>
      </c>
      <c r="C596" s="4" t="str">
        <f>"证券转银行"</f>
        <v>证券转银行</v>
      </c>
      <c r="D596" s="4"/>
      <c r="E596" s="4"/>
      <c r="F596" s="4">
        <v>0</v>
      </c>
      <c r="G596" s="4">
        <v>0</v>
      </c>
      <c r="H596" s="4">
        <v>0</v>
      </c>
      <c r="I596" s="12">
        <v>-72601.55</v>
      </c>
      <c r="J596" s="4">
        <v>0</v>
      </c>
      <c r="K596" s="4">
        <v>0</v>
      </c>
    </row>
    <row r="597" spans="1:11">
      <c r="A597" s="4" t="str">
        <f>"20160826"</f>
        <v>20160826</v>
      </c>
      <c r="B597" s="4" t="str">
        <f>"20160826"</f>
        <v>20160826</v>
      </c>
      <c r="C597" s="4" t="str">
        <f>"银行转证券"</f>
        <v>银行转证券</v>
      </c>
      <c r="D597" s="4"/>
      <c r="E597" s="4"/>
      <c r="F597" s="4">
        <v>0</v>
      </c>
      <c r="G597" s="4">
        <v>0</v>
      </c>
      <c r="H597" s="4">
        <v>0</v>
      </c>
      <c r="I597" s="12">
        <v>1000</v>
      </c>
      <c r="J597" s="4">
        <v>1000</v>
      </c>
      <c r="K597" s="4">
        <v>0</v>
      </c>
    </row>
    <row r="598" spans="1:11">
      <c r="A598" s="4" t="str">
        <f t="shared" ref="A598:A600" si="403">"20160829"</f>
        <v>20160829</v>
      </c>
      <c r="B598" s="4" t="str">
        <f t="shared" ref="B598:B600" si="404">"20160829"</f>
        <v>20160829</v>
      </c>
      <c r="C598" s="4" t="str">
        <f>"红利入账"</f>
        <v>红利入账</v>
      </c>
      <c r="D598" s="4" t="str">
        <f>"600219"</f>
        <v>600219</v>
      </c>
      <c r="E598" s="4" t="str">
        <f>"南山铝业"</f>
        <v>南山铝业</v>
      </c>
      <c r="F598" s="4">
        <v>0</v>
      </c>
      <c r="G598" s="4">
        <v>4500</v>
      </c>
      <c r="H598" s="4">
        <v>450</v>
      </c>
      <c r="I598" s="12">
        <v>450</v>
      </c>
      <c r="J598" s="4">
        <v>1450</v>
      </c>
      <c r="K598" s="4">
        <v>0</v>
      </c>
    </row>
    <row r="599" spans="1:11">
      <c r="A599" s="4" t="str">
        <f t="shared" si="403"/>
        <v>20160829</v>
      </c>
      <c r="B599" s="4" t="str">
        <f t="shared" si="404"/>
        <v>20160829</v>
      </c>
      <c r="C599" s="4" t="str">
        <f>"证券卖出"</f>
        <v>证券卖出</v>
      </c>
      <c r="D599" s="4" t="str">
        <f>"511990"</f>
        <v>511990</v>
      </c>
      <c r="E599" s="4" t="str">
        <f>"华宝添益"</f>
        <v>华宝添益</v>
      </c>
      <c r="F599" s="4">
        <v>99.997</v>
      </c>
      <c r="G599" s="4">
        <v>500</v>
      </c>
      <c r="H599" s="4">
        <v>49998.5</v>
      </c>
      <c r="I599" s="12">
        <v>49998.5</v>
      </c>
      <c r="J599" s="4">
        <v>51448.5</v>
      </c>
      <c r="K599" s="4">
        <v>0</v>
      </c>
    </row>
    <row r="600" spans="1:11">
      <c r="A600" s="4" t="str">
        <f t="shared" si="403"/>
        <v>20160829</v>
      </c>
      <c r="B600" s="4" t="str">
        <f t="shared" si="404"/>
        <v>20160829</v>
      </c>
      <c r="C600" s="4" t="str">
        <f t="shared" ref="C600:C604" si="405">"证券买入"</f>
        <v>证券买入</v>
      </c>
      <c r="D600" s="4" t="str">
        <f>"600886"</f>
        <v>600886</v>
      </c>
      <c r="E600" s="4" t="str">
        <f>"国投电力"</f>
        <v>国投电力</v>
      </c>
      <c r="F600" s="4">
        <v>7.04</v>
      </c>
      <c r="G600" s="4">
        <v>3000</v>
      </c>
      <c r="H600" s="4">
        <v>21120</v>
      </c>
      <c r="I600" s="12">
        <v>-21126.97</v>
      </c>
      <c r="J600" s="4">
        <v>30321.53</v>
      </c>
      <c r="K600" s="4">
        <v>5000</v>
      </c>
    </row>
    <row r="601" spans="1:11">
      <c r="A601" s="4" t="str">
        <f t="shared" ref="A601:A603" si="406">"20160830"</f>
        <v>20160830</v>
      </c>
      <c r="B601" s="4" t="str">
        <f>"20160830"</f>
        <v>20160830</v>
      </c>
      <c r="C601" s="4" t="str">
        <f>"红股入账"</f>
        <v>红股入账</v>
      </c>
      <c r="D601" s="4" t="str">
        <f>"600219"</f>
        <v>600219</v>
      </c>
      <c r="E601" s="4" t="str">
        <f>"DR南山铝"</f>
        <v>DR南山铝</v>
      </c>
      <c r="F601" s="4">
        <v>0</v>
      </c>
      <c r="G601" s="4">
        <v>6750</v>
      </c>
      <c r="H601" s="4">
        <v>0</v>
      </c>
      <c r="I601" s="12">
        <v>0</v>
      </c>
      <c r="J601" s="4">
        <v>30321.53</v>
      </c>
      <c r="K601" s="4">
        <v>11250</v>
      </c>
    </row>
    <row r="602" spans="1:11">
      <c r="A602" s="4" t="str">
        <f t="shared" si="406"/>
        <v>20160830</v>
      </c>
      <c r="B602" s="4" t="str">
        <f>"20160830"</f>
        <v>20160830</v>
      </c>
      <c r="C602" s="4" t="str">
        <f t="shared" si="405"/>
        <v>证券买入</v>
      </c>
      <c r="D602" s="4" t="str">
        <f>"600365"</f>
        <v>600365</v>
      </c>
      <c r="E602" s="4" t="str">
        <f>"通葡股份"</f>
        <v>通葡股份</v>
      </c>
      <c r="F602" s="4">
        <v>12.34</v>
      </c>
      <c r="G602" s="4">
        <v>1000</v>
      </c>
      <c r="H602" s="4">
        <v>12340</v>
      </c>
      <c r="I602" s="12">
        <v>-12345.25</v>
      </c>
      <c r="J602" s="4">
        <v>17976.28</v>
      </c>
      <c r="K602" s="4">
        <v>1000</v>
      </c>
    </row>
    <row r="603" spans="1:11">
      <c r="A603" s="4" t="str">
        <f t="shared" si="406"/>
        <v>20160830</v>
      </c>
      <c r="B603" s="4" t="str">
        <f>"20160829"</f>
        <v>20160829</v>
      </c>
      <c r="C603" s="4" t="str">
        <f>"ETF 申购退款"</f>
        <v>ETF 申购退款</v>
      </c>
      <c r="D603" s="4" t="str">
        <f>"511990"</f>
        <v>511990</v>
      </c>
      <c r="E603" s="4" t="str">
        <f>"华宝添益"</f>
        <v>华宝添益</v>
      </c>
      <c r="F603" s="4">
        <v>0</v>
      </c>
      <c r="G603" s="4">
        <v>0</v>
      </c>
      <c r="H603" s="4">
        <v>44.19</v>
      </c>
      <c r="I603" s="12">
        <v>44.19</v>
      </c>
      <c r="J603" s="4">
        <v>18020.47</v>
      </c>
      <c r="K603" s="4">
        <v>0</v>
      </c>
    </row>
    <row r="604" spans="1:11">
      <c r="A604" s="4" t="str">
        <f>"20160831"</f>
        <v>20160831</v>
      </c>
      <c r="B604" s="4" t="str">
        <f>"20160831"</f>
        <v>20160831</v>
      </c>
      <c r="C604" s="4" t="str">
        <f t="shared" si="405"/>
        <v>证券买入</v>
      </c>
      <c r="D604" s="4" t="str">
        <f>"600886"</f>
        <v>600886</v>
      </c>
      <c r="E604" s="4" t="str">
        <f>"国投电力"</f>
        <v>国投电力</v>
      </c>
      <c r="F604" s="4">
        <v>6.91</v>
      </c>
      <c r="G604" s="4">
        <v>2000</v>
      </c>
      <c r="H604" s="4">
        <v>13820</v>
      </c>
      <c r="I604" s="12">
        <v>-13825.28</v>
      </c>
      <c r="J604" s="4">
        <v>4195.19</v>
      </c>
      <c r="K604" s="4">
        <v>7000</v>
      </c>
    </row>
    <row r="605" spans="1:11">
      <c r="A605" s="4" t="str">
        <f>"20160831"</f>
        <v>20160831</v>
      </c>
      <c r="B605" s="4" t="str">
        <f>"20160831"</f>
        <v>20160831</v>
      </c>
      <c r="C605" s="4" t="str">
        <f t="shared" ref="C605:C608" si="407">"证券卖出"</f>
        <v>证券卖出</v>
      </c>
      <c r="D605" s="4" t="str">
        <f>"600365"</f>
        <v>600365</v>
      </c>
      <c r="E605" s="4" t="str">
        <f>"通葡股份"</f>
        <v>通葡股份</v>
      </c>
      <c r="F605" s="4">
        <v>12.51</v>
      </c>
      <c r="G605" s="4">
        <v>1000</v>
      </c>
      <c r="H605" s="4">
        <v>12510</v>
      </c>
      <c r="I605" s="12">
        <v>12492.23</v>
      </c>
      <c r="J605" s="4">
        <v>16687.42</v>
      </c>
      <c r="K605" s="4">
        <v>0</v>
      </c>
    </row>
    <row r="606" spans="1:11">
      <c r="A606" s="4" t="str">
        <f>"20160901"</f>
        <v>20160901</v>
      </c>
      <c r="B606" s="4" t="str">
        <f>"20160901"</f>
        <v>20160901</v>
      </c>
      <c r="C606" s="4" t="str">
        <f t="shared" ref="C606:C610" si="408">"证券买入"</f>
        <v>证券买入</v>
      </c>
      <c r="D606" s="4" t="str">
        <f>"000700"</f>
        <v>000700</v>
      </c>
      <c r="E606" s="4" t="str">
        <f>"模塑科技"</f>
        <v>模塑科技</v>
      </c>
      <c r="F606" s="4">
        <v>9.57</v>
      </c>
      <c r="G606" s="4">
        <v>1500</v>
      </c>
      <c r="H606" s="4">
        <v>14355</v>
      </c>
      <c r="I606" s="12">
        <v>-14360</v>
      </c>
      <c r="J606" s="4">
        <v>2327.42</v>
      </c>
      <c r="K606" s="4">
        <v>1500</v>
      </c>
    </row>
    <row r="607" spans="1:11">
      <c r="A607" s="4" t="str">
        <f t="shared" ref="A607:A610" si="409">"20160902"</f>
        <v>20160902</v>
      </c>
      <c r="B607" s="4" t="str">
        <f t="shared" ref="B607:B610" si="410">"20160902"</f>
        <v>20160902</v>
      </c>
      <c r="C607" s="4" t="str">
        <f t="shared" si="407"/>
        <v>证券卖出</v>
      </c>
      <c r="D607" s="4" t="str">
        <f>"600165"</f>
        <v>600165</v>
      </c>
      <c r="E607" s="4" t="str">
        <f>"新日恒力"</f>
        <v>新日恒力</v>
      </c>
      <c r="F607" s="4">
        <v>12.65</v>
      </c>
      <c r="G607" s="4">
        <v>500</v>
      </c>
      <c r="H607" s="4">
        <v>6325</v>
      </c>
      <c r="I607" s="12">
        <v>6313.52</v>
      </c>
      <c r="J607" s="4">
        <v>8640.94</v>
      </c>
      <c r="K607" s="4">
        <v>0</v>
      </c>
    </row>
    <row r="608" spans="1:11">
      <c r="A608" s="4" t="str">
        <f t="shared" si="409"/>
        <v>20160902</v>
      </c>
      <c r="B608" s="4" t="str">
        <f t="shared" si="410"/>
        <v>20160902</v>
      </c>
      <c r="C608" s="4" t="str">
        <f t="shared" si="407"/>
        <v>证券卖出</v>
      </c>
      <c r="D608" s="4" t="str">
        <f>"000700"</f>
        <v>000700</v>
      </c>
      <c r="E608" s="4" t="str">
        <f>"模塑科技"</f>
        <v>模塑科技</v>
      </c>
      <c r="F608" s="4">
        <v>9.42</v>
      </c>
      <c r="G608" s="4">
        <v>1500</v>
      </c>
      <c r="H608" s="4">
        <v>14130</v>
      </c>
      <c r="I608" s="12">
        <v>14110.87</v>
      </c>
      <c r="J608" s="4">
        <v>22751.81</v>
      </c>
      <c r="K608" s="4">
        <v>0</v>
      </c>
    </row>
    <row r="609" spans="1:11">
      <c r="A609" s="4" t="str">
        <f t="shared" si="409"/>
        <v>20160902</v>
      </c>
      <c r="B609" s="4" t="str">
        <f t="shared" si="410"/>
        <v>20160902</v>
      </c>
      <c r="C609" s="4" t="str">
        <f t="shared" si="408"/>
        <v>证券买入</v>
      </c>
      <c r="D609" s="4" t="str">
        <f>"600886"</f>
        <v>600886</v>
      </c>
      <c r="E609" s="4" t="str">
        <f>"国投电力"</f>
        <v>国投电力</v>
      </c>
      <c r="F609" s="4">
        <v>6.77</v>
      </c>
      <c r="G609" s="4">
        <v>2000</v>
      </c>
      <c r="H609" s="4">
        <v>13540</v>
      </c>
      <c r="I609" s="12">
        <v>-13545.27</v>
      </c>
      <c r="J609" s="4">
        <v>9206.54</v>
      </c>
      <c r="K609" s="4">
        <v>9000</v>
      </c>
    </row>
    <row r="610" spans="1:11">
      <c r="A610" s="4" t="str">
        <f t="shared" si="409"/>
        <v>20160902</v>
      </c>
      <c r="B610" s="4" t="str">
        <f t="shared" si="410"/>
        <v>20160902</v>
      </c>
      <c r="C610" s="4" t="str">
        <f t="shared" si="408"/>
        <v>证券买入</v>
      </c>
      <c r="D610" s="4" t="str">
        <f t="shared" ref="D610:D614" si="411">"600219"</f>
        <v>600219</v>
      </c>
      <c r="E610" s="4" t="str">
        <f t="shared" ref="E610:E614" si="412">"南山铝业"</f>
        <v>南山铝业</v>
      </c>
      <c r="F610" s="4">
        <v>3.04</v>
      </c>
      <c r="G610" s="4">
        <v>2900</v>
      </c>
      <c r="H610" s="4">
        <v>8816</v>
      </c>
      <c r="I610" s="12">
        <v>-8821.18</v>
      </c>
      <c r="J610" s="4">
        <v>385.36</v>
      </c>
      <c r="K610" s="4">
        <v>14150</v>
      </c>
    </row>
    <row r="611" spans="1:11">
      <c r="A611" s="4" t="str">
        <f>"20160906"</f>
        <v>20160906</v>
      </c>
      <c r="B611" s="4" t="str">
        <f>"20160906"</f>
        <v>20160906</v>
      </c>
      <c r="C611" s="4" t="str">
        <f>"证券卖出"</f>
        <v>证券卖出</v>
      </c>
      <c r="D611" s="4" t="str">
        <f>"600886"</f>
        <v>600886</v>
      </c>
      <c r="E611" s="4" t="str">
        <f>"国投电力"</f>
        <v>国投电力</v>
      </c>
      <c r="F611" s="4">
        <v>6.88</v>
      </c>
      <c r="G611" s="4">
        <v>2000</v>
      </c>
      <c r="H611" s="4">
        <v>13760</v>
      </c>
      <c r="I611" s="12">
        <v>13740.96</v>
      </c>
      <c r="J611" s="4">
        <v>14126.32</v>
      </c>
      <c r="K611" s="4">
        <v>7000</v>
      </c>
    </row>
    <row r="612" spans="1:11">
      <c r="A612" s="4" t="str">
        <f>"20160906"</f>
        <v>20160906</v>
      </c>
      <c r="B612" s="4" t="str">
        <f>"20160906"</f>
        <v>20160906</v>
      </c>
      <c r="C612" s="4" t="str">
        <f>"证券卖出"</f>
        <v>证券卖出</v>
      </c>
      <c r="D612" s="4" t="str">
        <f t="shared" si="411"/>
        <v>600219</v>
      </c>
      <c r="E612" s="4" t="str">
        <f t="shared" si="412"/>
        <v>南山铝业</v>
      </c>
      <c r="F612" s="4">
        <v>3.09</v>
      </c>
      <c r="G612" s="4">
        <v>2900</v>
      </c>
      <c r="H612" s="4">
        <v>8961</v>
      </c>
      <c r="I612" s="12">
        <v>8946.86</v>
      </c>
      <c r="J612" s="4">
        <v>23073.18</v>
      </c>
      <c r="K612" s="4">
        <v>11250</v>
      </c>
    </row>
    <row r="613" spans="1:11">
      <c r="A613" s="4" t="str">
        <f>"20160907"</f>
        <v>20160907</v>
      </c>
      <c r="B613" s="4" t="str">
        <f>"0"</f>
        <v>0</v>
      </c>
      <c r="C613" s="4" t="str">
        <f>"股息红利差异扣税"</f>
        <v>股息红利差异扣税</v>
      </c>
      <c r="D613" s="4" t="str">
        <f t="shared" si="411"/>
        <v>600219</v>
      </c>
      <c r="E613" s="4" t="str">
        <f t="shared" si="412"/>
        <v>南山铝业</v>
      </c>
      <c r="F613" s="4">
        <v>0</v>
      </c>
      <c r="G613" s="4">
        <v>0</v>
      </c>
      <c r="H613" s="4">
        <v>0</v>
      </c>
      <c r="I613" s="12">
        <v>-20</v>
      </c>
      <c r="J613" s="4">
        <v>23053.18</v>
      </c>
      <c r="K613" s="4">
        <v>0</v>
      </c>
    </row>
    <row r="614" spans="1:11">
      <c r="A614" s="4" t="str">
        <f>"20160907"</f>
        <v>20160907</v>
      </c>
      <c r="B614" s="4" t="str">
        <f>"0"</f>
        <v>0</v>
      </c>
      <c r="C614" s="4" t="str">
        <f>"股息红利差异扣税"</f>
        <v>股息红利差异扣税</v>
      </c>
      <c r="D614" s="4" t="str">
        <f t="shared" si="411"/>
        <v>600219</v>
      </c>
      <c r="E614" s="4" t="str">
        <f t="shared" si="412"/>
        <v>南山铝业</v>
      </c>
      <c r="F614" s="4">
        <v>0</v>
      </c>
      <c r="G614" s="4">
        <v>0</v>
      </c>
      <c r="H614" s="4">
        <v>0</v>
      </c>
      <c r="I614" s="12">
        <v>-9</v>
      </c>
      <c r="J614" s="4">
        <v>23044.18</v>
      </c>
      <c r="K614" s="4">
        <v>0</v>
      </c>
    </row>
    <row r="615" spans="1:11">
      <c r="A615" s="4" t="str">
        <f>"20160909"</f>
        <v>20160909</v>
      </c>
      <c r="B615" s="4" t="str">
        <f>"20160909"</f>
        <v>20160909</v>
      </c>
      <c r="C615" s="4" t="str">
        <f t="shared" ref="C615:C619" si="413">"证券买入"</f>
        <v>证券买入</v>
      </c>
      <c r="D615" s="4" t="str">
        <f>"600886"</f>
        <v>600886</v>
      </c>
      <c r="E615" s="4" t="str">
        <f>"国投电力"</f>
        <v>国投电力</v>
      </c>
      <c r="F615" s="4">
        <v>6.86</v>
      </c>
      <c r="G615" s="4">
        <v>2000</v>
      </c>
      <c r="H615" s="4">
        <v>13720</v>
      </c>
      <c r="I615" s="12">
        <v>-13725.28</v>
      </c>
      <c r="J615" s="4">
        <v>9318.9</v>
      </c>
      <c r="K615" s="4">
        <v>9000</v>
      </c>
    </row>
    <row r="616" spans="1:11">
      <c r="A616" s="4" t="str">
        <f>"20160912"</f>
        <v>20160912</v>
      </c>
      <c r="B616" s="4" t="str">
        <f>"20160912"</f>
        <v>20160912</v>
      </c>
      <c r="C616" s="4" t="str">
        <f t="shared" si="413"/>
        <v>证券买入</v>
      </c>
      <c r="D616" s="4" t="str">
        <f>"510300"</f>
        <v>510300</v>
      </c>
      <c r="E616" s="4" t="str">
        <f>"300ETF"</f>
        <v>300ETF</v>
      </c>
      <c r="F616" s="4">
        <v>3.327</v>
      </c>
      <c r="G616" s="4">
        <v>2700</v>
      </c>
      <c r="H616" s="4">
        <v>8982.9</v>
      </c>
      <c r="I616" s="12">
        <v>-8987.9</v>
      </c>
      <c r="J616" s="4">
        <v>331</v>
      </c>
      <c r="K616" s="4">
        <v>4700</v>
      </c>
    </row>
    <row r="617" spans="1:11">
      <c r="A617" s="4" t="str">
        <f>"20160920"</f>
        <v>20160920</v>
      </c>
      <c r="B617" s="4" t="str">
        <f>"20160920"</f>
        <v>20160920</v>
      </c>
      <c r="C617" s="4" t="str">
        <f>"利息归本"</f>
        <v>利息归本</v>
      </c>
      <c r="D617" s="4"/>
      <c r="E617" s="4"/>
      <c r="F617" s="4">
        <v>0</v>
      </c>
      <c r="G617" s="4">
        <v>0</v>
      </c>
      <c r="H617" s="4">
        <v>0</v>
      </c>
      <c r="I617" s="12">
        <v>30.51</v>
      </c>
      <c r="J617" s="4">
        <v>361.51</v>
      </c>
      <c r="K617" s="4">
        <v>0</v>
      </c>
    </row>
    <row r="618" spans="1:11">
      <c r="A618" s="4" t="str">
        <f>"20160923"</f>
        <v>20160923</v>
      </c>
      <c r="B618" s="4" t="str">
        <f>"20160923"</f>
        <v>20160923</v>
      </c>
      <c r="C618" s="4" t="str">
        <f>"证券卖出"</f>
        <v>证券卖出</v>
      </c>
      <c r="D618" s="4" t="str">
        <f>"510300"</f>
        <v>510300</v>
      </c>
      <c r="E618" s="4" t="str">
        <f>"300ETF"</f>
        <v>300ETF</v>
      </c>
      <c r="F618" s="4">
        <v>3.338</v>
      </c>
      <c r="G618" s="4">
        <v>2700</v>
      </c>
      <c r="H618" s="4">
        <v>9012.6</v>
      </c>
      <c r="I618" s="12">
        <v>9007.6</v>
      </c>
      <c r="J618" s="4">
        <v>9369.11</v>
      </c>
      <c r="K618" s="4">
        <v>2000</v>
      </c>
    </row>
    <row r="619" spans="1:11">
      <c r="A619" s="4" t="str">
        <f>"20160923"</f>
        <v>20160923</v>
      </c>
      <c r="B619" s="4" t="str">
        <f>"20160923"</f>
        <v>20160923</v>
      </c>
      <c r="C619" s="4" t="str">
        <f t="shared" si="413"/>
        <v>证券买入</v>
      </c>
      <c r="D619" s="4" t="str">
        <f>"600219"</f>
        <v>600219</v>
      </c>
      <c r="E619" s="4" t="str">
        <f>"南山铝业"</f>
        <v>南山铝业</v>
      </c>
      <c r="F619" s="4">
        <v>3.01</v>
      </c>
      <c r="G619" s="4">
        <v>3000</v>
      </c>
      <c r="H619" s="4">
        <v>9030</v>
      </c>
      <c r="I619" s="12">
        <v>-9035.18</v>
      </c>
      <c r="J619" s="4">
        <v>333.93</v>
      </c>
      <c r="K619" s="4">
        <v>14250</v>
      </c>
    </row>
    <row r="620" spans="1:11">
      <c r="A620" s="4" t="str">
        <f>"20161017"</f>
        <v>20161017</v>
      </c>
      <c r="B620" s="4" t="str">
        <f>"20161017"</f>
        <v>20161017</v>
      </c>
      <c r="C620" s="4" t="str">
        <f>"银行转证券"</f>
        <v>银行转证券</v>
      </c>
      <c r="D620" s="4"/>
      <c r="E620" s="4"/>
      <c r="F620" s="4">
        <v>0</v>
      </c>
      <c r="G620" s="4">
        <v>0</v>
      </c>
      <c r="H620" s="4">
        <v>0</v>
      </c>
      <c r="I620" s="12">
        <v>30000</v>
      </c>
      <c r="J620" s="4">
        <v>30333.93</v>
      </c>
      <c r="K620" s="4">
        <v>0</v>
      </c>
    </row>
    <row r="621" spans="1:11">
      <c r="A621" s="4" t="str">
        <f>"20161017"</f>
        <v>20161017</v>
      </c>
      <c r="B621" s="4" t="str">
        <f>"20161017"</f>
        <v>20161017</v>
      </c>
      <c r="C621" s="4" t="str">
        <f t="shared" ref="C621:C626" si="414">"证券买入"</f>
        <v>证券买入</v>
      </c>
      <c r="D621" s="4" t="str">
        <f t="shared" ref="D621:D623" si="415">"600886"</f>
        <v>600886</v>
      </c>
      <c r="E621" s="4" t="str">
        <f t="shared" ref="E621:E623" si="416">"国投电力"</f>
        <v>国投电力</v>
      </c>
      <c r="F621" s="4">
        <v>6.58</v>
      </c>
      <c r="G621" s="4">
        <v>4000</v>
      </c>
      <c r="H621" s="4">
        <v>26320</v>
      </c>
      <c r="I621" s="12">
        <v>-26328.69</v>
      </c>
      <c r="J621" s="4">
        <v>4005.24</v>
      </c>
      <c r="K621" s="4">
        <v>13000</v>
      </c>
    </row>
    <row r="622" spans="1:11">
      <c r="A622" s="4" t="str">
        <f>"20161019"</f>
        <v>20161019</v>
      </c>
      <c r="B622" s="4" t="str">
        <f>"20161019"</f>
        <v>20161019</v>
      </c>
      <c r="C622" s="4" t="str">
        <f t="shared" ref="C622:C625" si="417">"证券卖出"</f>
        <v>证券卖出</v>
      </c>
      <c r="D622" s="4" t="str">
        <f t="shared" si="415"/>
        <v>600886</v>
      </c>
      <c r="E622" s="4" t="str">
        <f t="shared" si="416"/>
        <v>国投电力</v>
      </c>
      <c r="F622" s="4">
        <v>6.72</v>
      </c>
      <c r="G622" s="4">
        <v>4000</v>
      </c>
      <c r="H622" s="4">
        <v>26880</v>
      </c>
      <c r="I622" s="12">
        <v>26844.25</v>
      </c>
      <c r="J622" s="4">
        <v>30849.49</v>
      </c>
      <c r="K622" s="4">
        <v>9000</v>
      </c>
    </row>
    <row r="623" spans="1:11">
      <c r="A623" s="4" t="str">
        <f>"20161019"</f>
        <v>20161019</v>
      </c>
      <c r="B623" s="4" t="str">
        <f>"20161019"</f>
        <v>20161019</v>
      </c>
      <c r="C623" s="4" t="str">
        <f t="shared" si="414"/>
        <v>证券买入</v>
      </c>
      <c r="D623" s="4" t="str">
        <f t="shared" si="415"/>
        <v>600886</v>
      </c>
      <c r="E623" s="4" t="str">
        <f t="shared" si="416"/>
        <v>国投电力</v>
      </c>
      <c r="F623" s="4">
        <v>6.67</v>
      </c>
      <c r="G623" s="4">
        <v>4000</v>
      </c>
      <c r="H623" s="4">
        <v>26680</v>
      </c>
      <c r="I623" s="12">
        <v>-26688.8</v>
      </c>
      <c r="J623" s="4">
        <v>4160.69</v>
      </c>
      <c r="K623" s="4">
        <v>13000</v>
      </c>
    </row>
    <row r="624" spans="1:11">
      <c r="A624" s="4" t="str">
        <f>"20161024"</f>
        <v>20161024</v>
      </c>
      <c r="B624" s="4" t="str">
        <f>"20161024"</f>
        <v>20161024</v>
      </c>
      <c r="C624" s="4" t="str">
        <f t="shared" si="417"/>
        <v>证券卖出</v>
      </c>
      <c r="D624" s="4" t="str">
        <f>"510300"</f>
        <v>510300</v>
      </c>
      <c r="E624" s="4" t="str">
        <f>"300ETF"</f>
        <v>300ETF</v>
      </c>
      <c r="F624" s="4">
        <v>3.438</v>
      </c>
      <c r="G624" s="4">
        <v>2000</v>
      </c>
      <c r="H624" s="4">
        <v>6876</v>
      </c>
      <c r="I624" s="12">
        <v>6871</v>
      </c>
      <c r="J624" s="4">
        <v>11031.69</v>
      </c>
      <c r="K624" s="4">
        <v>0</v>
      </c>
    </row>
    <row r="625" spans="1:11">
      <c r="A625" s="4" t="str">
        <f>"20161026"</f>
        <v>20161026</v>
      </c>
      <c r="B625" s="4" t="str">
        <f>"20161026"</f>
        <v>20161026</v>
      </c>
      <c r="C625" s="4" t="str">
        <f t="shared" si="417"/>
        <v>证券卖出</v>
      </c>
      <c r="D625" s="4" t="str">
        <f t="shared" ref="D625:D628" si="418">"600219"</f>
        <v>600219</v>
      </c>
      <c r="E625" s="4" t="str">
        <f t="shared" ref="E625:E628" si="419">"南山铝业"</f>
        <v>南山铝业</v>
      </c>
      <c r="F625" s="4">
        <v>3.11</v>
      </c>
      <c r="G625" s="4">
        <v>3000</v>
      </c>
      <c r="H625" s="4">
        <v>9330</v>
      </c>
      <c r="I625" s="12">
        <v>9315.48</v>
      </c>
      <c r="J625" s="4">
        <v>20347.17</v>
      </c>
      <c r="K625" s="4">
        <v>11250</v>
      </c>
    </row>
    <row r="626" spans="1:11">
      <c r="A626" s="4" t="str">
        <f>"20161026"</f>
        <v>20161026</v>
      </c>
      <c r="B626" s="4" t="str">
        <f>"20161026"</f>
        <v>20161026</v>
      </c>
      <c r="C626" s="4" t="str">
        <f t="shared" si="414"/>
        <v>证券买入</v>
      </c>
      <c r="D626" s="4" t="str">
        <f>"511990"</f>
        <v>511990</v>
      </c>
      <c r="E626" s="4" t="str">
        <f>"华宝添益"</f>
        <v>华宝添益</v>
      </c>
      <c r="F626" s="4">
        <v>99.974</v>
      </c>
      <c r="G626" s="4">
        <v>200</v>
      </c>
      <c r="H626" s="4">
        <v>19994.8</v>
      </c>
      <c r="I626" s="12">
        <v>-19994.8</v>
      </c>
      <c r="J626" s="4">
        <v>352.37</v>
      </c>
      <c r="K626" s="4">
        <v>200</v>
      </c>
    </row>
    <row r="627" spans="1:11">
      <c r="A627" s="4" t="str">
        <f>"20161027"</f>
        <v>20161027</v>
      </c>
      <c r="B627" s="4" t="str">
        <f>"0"</f>
        <v>0</v>
      </c>
      <c r="C627" s="4" t="str">
        <f>"股息红利差异扣税"</f>
        <v>股息红利差异扣税</v>
      </c>
      <c r="D627" s="4" t="str">
        <f t="shared" si="418"/>
        <v>600219</v>
      </c>
      <c r="E627" s="4" t="str">
        <f t="shared" si="419"/>
        <v>南山铝业</v>
      </c>
      <c r="F627" s="4">
        <v>0</v>
      </c>
      <c r="G627" s="4">
        <v>0</v>
      </c>
      <c r="H627" s="4">
        <v>0</v>
      </c>
      <c r="I627" s="12">
        <v>-11</v>
      </c>
      <c r="J627" s="4">
        <v>341.37</v>
      </c>
      <c r="K627" s="4">
        <v>0</v>
      </c>
    </row>
    <row r="628" spans="1:11">
      <c r="A628" s="4" t="str">
        <f>"20161027"</f>
        <v>20161027</v>
      </c>
      <c r="B628" s="4" t="str">
        <f>"0"</f>
        <v>0</v>
      </c>
      <c r="C628" s="4" t="str">
        <f>"股息红利差异扣税"</f>
        <v>股息红利差异扣税</v>
      </c>
      <c r="D628" s="4" t="str">
        <f t="shared" si="418"/>
        <v>600219</v>
      </c>
      <c r="E628" s="4" t="str">
        <f t="shared" si="419"/>
        <v>南山铝业</v>
      </c>
      <c r="F628" s="4">
        <v>0</v>
      </c>
      <c r="G628" s="4">
        <v>0</v>
      </c>
      <c r="H628" s="4">
        <v>0</v>
      </c>
      <c r="I628" s="12">
        <v>-5</v>
      </c>
      <c r="J628" s="4">
        <v>336.37</v>
      </c>
      <c r="K628" s="4">
        <v>0</v>
      </c>
    </row>
    <row r="629" spans="1:11">
      <c r="A629" s="4" t="str">
        <f>"20161028"</f>
        <v>20161028</v>
      </c>
      <c r="B629" s="4" t="str">
        <f>"20161027"</f>
        <v>20161027</v>
      </c>
      <c r="C629" s="4" t="str">
        <f>"ETF 基金赎回"</f>
        <v>ETF 基金赎回</v>
      </c>
      <c r="D629" s="4" t="str">
        <f>"511991"</f>
        <v>511991</v>
      </c>
      <c r="E629" s="4" t="str">
        <f>"添益申赎"</f>
        <v>添益申赎</v>
      </c>
      <c r="F629" s="4">
        <v>0</v>
      </c>
      <c r="G629" s="4">
        <v>200</v>
      </c>
      <c r="H629" s="4">
        <v>0</v>
      </c>
      <c r="I629" s="12">
        <v>0</v>
      </c>
      <c r="J629" s="4">
        <v>336.37</v>
      </c>
      <c r="K629" s="4">
        <v>0</v>
      </c>
    </row>
    <row r="630" spans="1:11">
      <c r="A630" s="4" t="str">
        <f>"20161028"</f>
        <v>20161028</v>
      </c>
      <c r="B630" s="4" t="str">
        <f>"20161027"</f>
        <v>20161027</v>
      </c>
      <c r="C630" s="4" t="str">
        <f>"ETF 申购退款"</f>
        <v>ETF 申购退款</v>
      </c>
      <c r="D630" s="4" t="str">
        <f>"511990"</f>
        <v>511990</v>
      </c>
      <c r="E630" s="4" t="str">
        <f>"华宝添益"</f>
        <v>华宝添益</v>
      </c>
      <c r="F630" s="4">
        <v>0</v>
      </c>
      <c r="G630" s="4">
        <v>0</v>
      </c>
      <c r="H630" s="4">
        <v>20002.53</v>
      </c>
      <c r="I630" s="12">
        <v>20002.53</v>
      </c>
      <c r="J630" s="4">
        <v>20338.9</v>
      </c>
      <c r="K630" s="4">
        <v>0</v>
      </c>
    </row>
    <row r="631" spans="1:11">
      <c r="A631" s="4" t="str">
        <f>"20161103"</f>
        <v>20161103</v>
      </c>
      <c r="B631" s="4" t="str">
        <f>"20161103"</f>
        <v>20161103</v>
      </c>
      <c r="C631" s="4" t="str">
        <f>"证券卖出"</f>
        <v>证券卖出</v>
      </c>
      <c r="D631" s="4" t="str">
        <f t="shared" ref="D631:D635" si="420">"600886"</f>
        <v>600886</v>
      </c>
      <c r="E631" s="4" t="str">
        <f t="shared" ref="E631:E635" si="421">"国投电力"</f>
        <v>国投电力</v>
      </c>
      <c r="F631" s="4">
        <v>6.58</v>
      </c>
      <c r="G631" s="4">
        <v>13000</v>
      </c>
      <c r="H631" s="4">
        <v>85540</v>
      </c>
      <c r="I631" s="12">
        <v>85426.23</v>
      </c>
      <c r="J631" s="4">
        <v>105765.13</v>
      </c>
      <c r="K631" s="4">
        <v>0</v>
      </c>
    </row>
    <row r="632" spans="1:11">
      <c r="A632" s="4" t="str">
        <f>"20161104"</f>
        <v>20161104</v>
      </c>
      <c r="B632" s="4" t="str">
        <f>"20161104"</f>
        <v>20161104</v>
      </c>
      <c r="C632" s="4" t="str">
        <f t="shared" ref="C632:C637" si="422">"证券买入"</f>
        <v>证券买入</v>
      </c>
      <c r="D632" s="4" t="str">
        <f t="shared" si="420"/>
        <v>600886</v>
      </c>
      <c r="E632" s="4" t="str">
        <f t="shared" si="421"/>
        <v>国投电力</v>
      </c>
      <c r="F632" s="4">
        <v>6.51</v>
      </c>
      <c r="G632" s="4">
        <v>2000</v>
      </c>
      <c r="H632" s="4">
        <v>13020</v>
      </c>
      <c r="I632" s="12">
        <v>-13025.26</v>
      </c>
      <c r="J632" s="4">
        <v>92739.87</v>
      </c>
      <c r="K632" s="4">
        <v>2000</v>
      </c>
    </row>
    <row r="633" spans="1:11">
      <c r="A633" s="4" t="str">
        <f t="shared" ref="A633:A635" si="423">"20161108"</f>
        <v>20161108</v>
      </c>
      <c r="B633" s="4" t="str">
        <f t="shared" ref="B633:B635" si="424">"20161108"</f>
        <v>20161108</v>
      </c>
      <c r="C633" s="4" t="str">
        <f t="shared" si="422"/>
        <v>证券买入</v>
      </c>
      <c r="D633" s="4" t="str">
        <f t="shared" si="420"/>
        <v>600886</v>
      </c>
      <c r="E633" s="4" t="str">
        <f t="shared" si="421"/>
        <v>国投电力</v>
      </c>
      <c r="F633" s="4">
        <v>6.55</v>
      </c>
      <c r="G633" s="4">
        <v>2500</v>
      </c>
      <c r="H633" s="4">
        <v>16375</v>
      </c>
      <c r="I633" s="12">
        <v>-16380.41</v>
      </c>
      <c r="J633" s="4">
        <v>76359.46</v>
      </c>
      <c r="K633" s="4">
        <v>4500</v>
      </c>
    </row>
    <row r="634" spans="1:11">
      <c r="A634" s="4" t="str">
        <f t="shared" si="423"/>
        <v>20161108</v>
      </c>
      <c r="B634" s="4" t="str">
        <f t="shared" si="424"/>
        <v>20161108</v>
      </c>
      <c r="C634" s="4" t="str">
        <f>"证券卖出"</f>
        <v>证券卖出</v>
      </c>
      <c r="D634" s="4" t="str">
        <f t="shared" si="420"/>
        <v>600886</v>
      </c>
      <c r="E634" s="4" t="str">
        <f t="shared" si="421"/>
        <v>国投电力</v>
      </c>
      <c r="F634" s="4">
        <v>6.58</v>
      </c>
      <c r="G634" s="4">
        <v>2000</v>
      </c>
      <c r="H634" s="4">
        <v>13160</v>
      </c>
      <c r="I634" s="12">
        <v>13141.58</v>
      </c>
      <c r="J634" s="4">
        <v>89501.04</v>
      </c>
      <c r="K634" s="4">
        <v>2500</v>
      </c>
    </row>
    <row r="635" spans="1:11">
      <c r="A635" s="4" t="str">
        <f t="shared" si="423"/>
        <v>20161108</v>
      </c>
      <c r="B635" s="4" t="str">
        <f t="shared" si="424"/>
        <v>20161108</v>
      </c>
      <c r="C635" s="4" t="str">
        <f t="shared" si="422"/>
        <v>证券买入</v>
      </c>
      <c r="D635" s="4" t="str">
        <f t="shared" si="420"/>
        <v>600886</v>
      </c>
      <c r="E635" s="4" t="str">
        <f t="shared" si="421"/>
        <v>国投电力</v>
      </c>
      <c r="F635" s="4">
        <v>6.55</v>
      </c>
      <c r="G635" s="4">
        <v>2500</v>
      </c>
      <c r="H635" s="4">
        <v>16375</v>
      </c>
      <c r="I635" s="12">
        <v>-16380.41</v>
      </c>
      <c r="J635" s="4">
        <v>73120.63</v>
      </c>
      <c r="K635" s="4">
        <v>5000</v>
      </c>
    </row>
    <row r="636" spans="1:11">
      <c r="A636" s="4" t="str">
        <f>"20161109"</f>
        <v>20161109</v>
      </c>
      <c r="B636" s="4" t="str">
        <f>"20161109"</f>
        <v>20161109</v>
      </c>
      <c r="C636" s="4" t="str">
        <f t="shared" si="422"/>
        <v>证券买入</v>
      </c>
      <c r="D636" s="4" t="str">
        <f>"510300"</f>
        <v>510300</v>
      </c>
      <c r="E636" s="4" t="str">
        <f>"300ETF"</f>
        <v>300ETF</v>
      </c>
      <c r="F636" s="4">
        <v>3.399</v>
      </c>
      <c r="G636" s="4">
        <v>2500</v>
      </c>
      <c r="H636" s="4">
        <v>8497.5</v>
      </c>
      <c r="I636" s="12">
        <v>-8502.5</v>
      </c>
      <c r="J636" s="4">
        <v>64618.13</v>
      </c>
      <c r="K636" s="4">
        <v>2500</v>
      </c>
    </row>
    <row r="637" spans="1:11">
      <c r="A637" s="4" t="str">
        <f>"20161109"</f>
        <v>20161109</v>
      </c>
      <c r="B637" s="4" t="str">
        <f>"20161109"</f>
        <v>20161109</v>
      </c>
      <c r="C637" s="4" t="str">
        <f t="shared" si="422"/>
        <v>证券买入</v>
      </c>
      <c r="D637" s="4" t="str">
        <f>"600886"</f>
        <v>600886</v>
      </c>
      <c r="E637" s="4" t="str">
        <f>"国投电力"</f>
        <v>国投电力</v>
      </c>
      <c r="F637" s="4">
        <v>6.47</v>
      </c>
      <c r="G637" s="4">
        <v>2500</v>
      </c>
      <c r="H637" s="4">
        <v>16175</v>
      </c>
      <c r="I637" s="12">
        <v>-16180.33</v>
      </c>
      <c r="J637" s="4">
        <v>48437.8</v>
      </c>
      <c r="K637" s="4">
        <v>7500</v>
      </c>
    </row>
    <row r="638" spans="1:11">
      <c r="A638" s="4" t="str">
        <f t="shared" ref="A638:A642" si="425">"20161110"</f>
        <v>20161110</v>
      </c>
      <c r="B638" s="4" t="str">
        <f t="shared" ref="B638:B642" si="426">"20161110"</f>
        <v>20161110</v>
      </c>
      <c r="C638" s="4" t="str">
        <f>"银行转证券"</f>
        <v>银行转证券</v>
      </c>
      <c r="D638" s="4"/>
      <c r="E638" s="4"/>
      <c r="F638" s="4">
        <v>0</v>
      </c>
      <c r="G638" s="4">
        <v>0</v>
      </c>
      <c r="H638" s="4">
        <v>0</v>
      </c>
      <c r="I638" s="12">
        <v>39000</v>
      </c>
      <c r="J638" s="4">
        <v>87437.8</v>
      </c>
      <c r="K638" s="4">
        <v>0</v>
      </c>
    </row>
    <row r="639" spans="1:11">
      <c r="A639" s="4" t="str">
        <f t="shared" si="425"/>
        <v>20161110</v>
      </c>
      <c r="B639" s="4" t="str">
        <f t="shared" si="426"/>
        <v>20161110</v>
      </c>
      <c r="C639" s="4" t="str">
        <f>"证券买入"</f>
        <v>证券买入</v>
      </c>
      <c r="D639" s="4" t="str">
        <f t="shared" ref="D639:D644" si="427">"150197"</f>
        <v>150197</v>
      </c>
      <c r="E639" s="4" t="str">
        <f t="shared" ref="E639:E644" si="428">"有色B"</f>
        <v>有色B</v>
      </c>
      <c r="F639" s="4">
        <v>1.287</v>
      </c>
      <c r="G639" s="4">
        <v>37400</v>
      </c>
      <c r="H639" s="4">
        <v>48133.8</v>
      </c>
      <c r="I639" s="12">
        <v>-48148.72</v>
      </c>
      <c r="J639" s="4">
        <v>39289.08</v>
      </c>
      <c r="K639" s="4">
        <v>37400</v>
      </c>
    </row>
    <row r="640" spans="1:11">
      <c r="A640" s="4" t="str">
        <f t="shared" si="425"/>
        <v>20161110</v>
      </c>
      <c r="B640" s="4" t="str">
        <f t="shared" si="426"/>
        <v>20161110</v>
      </c>
      <c r="C640" s="4" t="str">
        <f>"证券买入"</f>
        <v>证券买入</v>
      </c>
      <c r="D640" s="4" t="str">
        <f t="shared" si="427"/>
        <v>150197</v>
      </c>
      <c r="E640" s="4" t="str">
        <f t="shared" si="428"/>
        <v>有色B</v>
      </c>
      <c r="F640" s="4">
        <v>1.245</v>
      </c>
      <c r="G640" s="4">
        <v>31200</v>
      </c>
      <c r="H640" s="4">
        <v>38844</v>
      </c>
      <c r="I640" s="12">
        <v>-38856.04</v>
      </c>
      <c r="J640" s="4">
        <v>433.04</v>
      </c>
      <c r="K640" s="4">
        <v>68600</v>
      </c>
    </row>
    <row r="641" spans="1:11">
      <c r="A641" s="4" t="str">
        <f t="shared" si="425"/>
        <v>20161110</v>
      </c>
      <c r="B641" s="4" t="str">
        <f t="shared" si="426"/>
        <v>20161110</v>
      </c>
      <c r="C641" s="4" t="str">
        <f t="shared" ref="C641:C644" si="429">"证券卖出"</f>
        <v>证券卖出</v>
      </c>
      <c r="D641" s="4" t="str">
        <f>"510300"</f>
        <v>510300</v>
      </c>
      <c r="E641" s="4" t="str">
        <f>"300ETF"</f>
        <v>300ETF</v>
      </c>
      <c r="F641" s="4">
        <v>3.45</v>
      </c>
      <c r="G641" s="4">
        <v>2500</v>
      </c>
      <c r="H641" s="4">
        <v>8625</v>
      </c>
      <c r="I641" s="12">
        <v>8620</v>
      </c>
      <c r="J641" s="4">
        <v>9053.04</v>
      </c>
      <c r="K641" s="4">
        <v>0</v>
      </c>
    </row>
    <row r="642" spans="1:11">
      <c r="A642" s="4" t="str">
        <f t="shared" si="425"/>
        <v>20161110</v>
      </c>
      <c r="B642" s="4" t="str">
        <f t="shared" si="426"/>
        <v>20161110</v>
      </c>
      <c r="C642" s="4" t="str">
        <f t="shared" si="429"/>
        <v>证券卖出</v>
      </c>
      <c r="D642" s="4" t="str">
        <f>"600886"</f>
        <v>600886</v>
      </c>
      <c r="E642" s="4" t="str">
        <f>"国投电力"</f>
        <v>国投电力</v>
      </c>
      <c r="F642" s="4">
        <v>6.56</v>
      </c>
      <c r="G642" s="4">
        <v>2500</v>
      </c>
      <c r="H642" s="4">
        <v>16400</v>
      </c>
      <c r="I642" s="12">
        <v>16378.19</v>
      </c>
      <c r="J642" s="4">
        <v>25431.23</v>
      </c>
      <c r="K642" s="4">
        <v>5000</v>
      </c>
    </row>
    <row r="643" spans="1:11">
      <c r="A643" s="4" t="str">
        <f t="shared" ref="A643:A645" si="430">"20161114"</f>
        <v>20161114</v>
      </c>
      <c r="B643" s="4" t="str">
        <f t="shared" ref="B643:B645" si="431">"20161114"</f>
        <v>20161114</v>
      </c>
      <c r="C643" s="4" t="str">
        <f t="shared" si="429"/>
        <v>证券卖出</v>
      </c>
      <c r="D643" s="4" t="str">
        <f t="shared" si="427"/>
        <v>150197</v>
      </c>
      <c r="E643" s="4" t="str">
        <f t="shared" si="428"/>
        <v>有色B</v>
      </c>
      <c r="F643" s="4">
        <v>1.382</v>
      </c>
      <c r="G643" s="4">
        <v>8600</v>
      </c>
      <c r="H643" s="4">
        <v>11885.2</v>
      </c>
      <c r="I643" s="12">
        <v>11880.2</v>
      </c>
      <c r="J643" s="4">
        <v>37311.43</v>
      </c>
      <c r="K643" s="4">
        <v>60000</v>
      </c>
    </row>
    <row r="644" spans="1:11">
      <c r="A644" s="4" t="str">
        <f t="shared" si="430"/>
        <v>20161114</v>
      </c>
      <c r="B644" s="4" t="str">
        <f t="shared" si="431"/>
        <v>20161114</v>
      </c>
      <c r="C644" s="4" t="str">
        <f t="shared" si="429"/>
        <v>证券卖出</v>
      </c>
      <c r="D644" s="4" t="str">
        <f t="shared" si="427"/>
        <v>150197</v>
      </c>
      <c r="E644" s="4" t="str">
        <f t="shared" si="428"/>
        <v>有色B</v>
      </c>
      <c r="F644" s="4">
        <v>1.354</v>
      </c>
      <c r="G644" s="4">
        <v>60000</v>
      </c>
      <c r="H644" s="4">
        <v>81240</v>
      </c>
      <c r="I644" s="12">
        <v>81214.82</v>
      </c>
      <c r="J644" s="4">
        <v>118526.25</v>
      </c>
      <c r="K644" s="4">
        <v>0</v>
      </c>
    </row>
    <row r="645" spans="1:11">
      <c r="A645" s="4" t="str">
        <f t="shared" si="430"/>
        <v>20161114</v>
      </c>
      <c r="B645" s="4" t="str">
        <f t="shared" si="431"/>
        <v>20161114</v>
      </c>
      <c r="C645" s="4" t="str">
        <f>"证券买入"</f>
        <v>证券买入</v>
      </c>
      <c r="D645" s="4" t="str">
        <f>"511990"</f>
        <v>511990</v>
      </c>
      <c r="E645" s="4" t="str">
        <f>"华宝添益"</f>
        <v>华宝添益</v>
      </c>
      <c r="F645" s="4">
        <v>99.98</v>
      </c>
      <c r="G645" s="4">
        <v>1100</v>
      </c>
      <c r="H645" s="4">
        <v>109978</v>
      </c>
      <c r="I645" s="12">
        <v>-109978</v>
      </c>
      <c r="J645" s="4">
        <v>8548.25</v>
      </c>
      <c r="K645" s="4">
        <v>1100</v>
      </c>
    </row>
    <row r="646" spans="1:11">
      <c r="A646" s="4" t="str">
        <f t="shared" ref="A646:A648" si="432">"20161115"</f>
        <v>20161115</v>
      </c>
      <c r="B646" s="4" t="str">
        <f t="shared" ref="B646:B648" si="433">"20161115"</f>
        <v>20161115</v>
      </c>
      <c r="C646" s="4" t="str">
        <f>"银行转证券"</f>
        <v>银行转证券</v>
      </c>
      <c r="D646" s="4"/>
      <c r="E646" s="4"/>
      <c r="F646" s="4">
        <v>0</v>
      </c>
      <c r="G646" s="4">
        <v>0</v>
      </c>
      <c r="H646" s="4">
        <v>0</v>
      </c>
      <c r="I646" s="12">
        <v>9000</v>
      </c>
      <c r="J646" s="4">
        <v>17548.25</v>
      </c>
      <c r="K646" s="4">
        <v>0</v>
      </c>
    </row>
    <row r="647" spans="1:11">
      <c r="A647" s="4" t="str">
        <f t="shared" si="432"/>
        <v>20161115</v>
      </c>
      <c r="B647" s="4" t="str">
        <f t="shared" si="433"/>
        <v>20161115</v>
      </c>
      <c r="C647" s="4" t="str">
        <f>"基金申购拨出"</f>
        <v>基金申购拨出</v>
      </c>
      <c r="D647" s="4" t="str">
        <f>"AA0007"</f>
        <v>AA0007</v>
      </c>
      <c r="E647" s="4" t="str">
        <f>"银河水星1号集合"</f>
        <v>银河水星1号集合</v>
      </c>
      <c r="F647" s="4">
        <v>0</v>
      </c>
      <c r="G647" s="4">
        <v>0</v>
      </c>
      <c r="H647" s="4">
        <v>0</v>
      </c>
      <c r="I647" s="12">
        <v>-50952.76</v>
      </c>
      <c r="J647" s="4">
        <v>-33404.51</v>
      </c>
      <c r="K647" s="4">
        <v>0</v>
      </c>
    </row>
    <row r="648" spans="1:11">
      <c r="A648" s="4" t="str">
        <f t="shared" si="432"/>
        <v>20161115</v>
      </c>
      <c r="B648" s="4" t="str">
        <f t="shared" si="433"/>
        <v>20161115</v>
      </c>
      <c r="C648" s="4" t="str">
        <f>"证券卖出"</f>
        <v>证券卖出</v>
      </c>
      <c r="D648" s="4" t="str">
        <f>"600886"</f>
        <v>600886</v>
      </c>
      <c r="E648" s="4" t="str">
        <f>"国投电力"</f>
        <v>国投电力</v>
      </c>
      <c r="F648" s="4">
        <v>6.69</v>
      </c>
      <c r="G648" s="4">
        <v>5000</v>
      </c>
      <c r="H648" s="4">
        <v>33450</v>
      </c>
      <c r="I648" s="12">
        <v>33405.51</v>
      </c>
      <c r="J648" s="4">
        <v>1</v>
      </c>
      <c r="K648" s="4">
        <v>0</v>
      </c>
    </row>
    <row r="649" spans="1:11">
      <c r="A649" s="4" t="str">
        <f t="shared" ref="A649:A652" si="434">"20161116"</f>
        <v>20161116</v>
      </c>
      <c r="B649" s="4" t="str">
        <f>"20161116"</f>
        <v>20161116</v>
      </c>
      <c r="C649" s="4" t="str">
        <f>"基金赎回拨入"</f>
        <v>基金赎回拨入</v>
      </c>
      <c r="D649" s="4" t="str">
        <f>"AA0007"</f>
        <v>AA0007</v>
      </c>
      <c r="E649" s="4" t="str">
        <f>"银河水星1号集合"</f>
        <v>银河水星1号集合</v>
      </c>
      <c r="F649" s="4">
        <v>0</v>
      </c>
      <c r="G649" s="4">
        <v>12615</v>
      </c>
      <c r="H649" s="4">
        <v>0</v>
      </c>
      <c r="I649" s="12">
        <v>12615</v>
      </c>
      <c r="J649" s="4">
        <v>12616</v>
      </c>
      <c r="K649" s="4">
        <v>0</v>
      </c>
    </row>
    <row r="650" spans="1:11">
      <c r="A650" s="4" t="str">
        <f t="shared" si="434"/>
        <v>20161116</v>
      </c>
      <c r="B650" s="4" t="str">
        <f>"20161115"</f>
        <v>20161115</v>
      </c>
      <c r="C650" s="4" t="str">
        <f>"ETF 基金赎回"</f>
        <v>ETF 基金赎回</v>
      </c>
      <c r="D650" s="4" t="str">
        <f>"511991"</f>
        <v>511991</v>
      </c>
      <c r="E650" s="4" t="str">
        <f>"添益申赎"</f>
        <v>添益申赎</v>
      </c>
      <c r="F650" s="4">
        <v>0</v>
      </c>
      <c r="G650" s="4">
        <v>1100</v>
      </c>
      <c r="H650" s="4">
        <v>0</v>
      </c>
      <c r="I650" s="12">
        <v>0</v>
      </c>
      <c r="J650" s="4">
        <v>12616</v>
      </c>
      <c r="K650" s="4">
        <v>0</v>
      </c>
    </row>
    <row r="651" spans="1:11">
      <c r="A651" s="4" t="str">
        <f t="shared" si="434"/>
        <v>20161116</v>
      </c>
      <c r="B651" s="4" t="str">
        <f>"20161116"</f>
        <v>20161116</v>
      </c>
      <c r="C651" s="4" t="str">
        <f>"证券买入"</f>
        <v>证券买入</v>
      </c>
      <c r="D651" s="4" t="str">
        <f>"150197"</f>
        <v>150197</v>
      </c>
      <c r="E651" s="4" t="str">
        <f>"有色B"</f>
        <v>有色B</v>
      </c>
      <c r="F651" s="4">
        <v>1.261</v>
      </c>
      <c r="G651" s="4">
        <v>10000</v>
      </c>
      <c r="H651" s="4">
        <v>12610</v>
      </c>
      <c r="I651" s="12">
        <v>-12615</v>
      </c>
      <c r="J651" s="4">
        <v>1</v>
      </c>
      <c r="K651" s="4">
        <v>10000</v>
      </c>
    </row>
    <row r="652" spans="1:11">
      <c r="A652" s="4" t="str">
        <f t="shared" si="434"/>
        <v>20161116</v>
      </c>
      <c r="B652" s="4" t="str">
        <f>"20161115"</f>
        <v>20161115</v>
      </c>
      <c r="C652" s="4" t="str">
        <f>"ETF 申购退款"</f>
        <v>ETF 申购退款</v>
      </c>
      <c r="D652" s="4" t="str">
        <f>"511990"</f>
        <v>511990</v>
      </c>
      <c r="E652" s="4" t="str">
        <f>"华宝添益"</f>
        <v>华宝添益</v>
      </c>
      <c r="F652" s="4">
        <v>0</v>
      </c>
      <c r="G652" s="4">
        <v>0</v>
      </c>
      <c r="H652" s="4">
        <v>110015.32</v>
      </c>
      <c r="I652" s="12">
        <v>110015.32</v>
      </c>
      <c r="J652" s="4">
        <v>110016.32</v>
      </c>
      <c r="K652" s="4">
        <v>0</v>
      </c>
    </row>
    <row r="653" spans="1:11">
      <c r="A653" s="4" t="str">
        <f t="shared" ref="A653:A656" si="435">"20161117"</f>
        <v>20161117</v>
      </c>
      <c r="B653" s="4" t="str">
        <f t="shared" ref="B653:B656" si="436">"20161117"</f>
        <v>20161117</v>
      </c>
      <c r="C653" s="4" t="str">
        <f>"证券转银行"</f>
        <v>证券转银行</v>
      </c>
      <c r="D653" s="4"/>
      <c r="E653" s="4"/>
      <c r="F653" s="4">
        <v>0</v>
      </c>
      <c r="G653" s="4">
        <v>0</v>
      </c>
      <c r="H653" s="4">
        <v>0</v>
      </c>
      <c r="I653" s="12">
        <v>-70000</v>
      </c>
      <c r="J653" s="4">
        <v>40016.32</v>
      </c>
      <c r="K653" s="4">
        <v>0</v>
      </c>
    </row>
    <row r="654" spans="1:11">
      <c r="A654" s="4" t="str">
        <f t="shared" si="435"/>
        <v>20161117</v>
      </c>
      <c r="B654" s="4" t="str">
        <f t="shared" si="436"/>
        <v>20161117</v>
      </c>
      <c r="C654" s="4" t="str">
        <f>"基金申购拨出"</f>
        <v>基金申购拨出</v>
      </c>
      <c r="D654" s="4" t="str">
        <f>"AA0007"</f>
        <v>AA0007</v>
      </c>
      <c r="E654" s="4" t="str">
        <f>"银河水星1号集合"</f>
        <v>银河水星1号集合</v>
      </c>
      <c r="F654" s="4">
        <v>0</v>
      </c>
      <c r="G654" s="4">
        <v>0</v>
      </c>
      <c r="H654" s="4">
        <v>0</v>
      </c>
      <c r="I654" s="12">
        <v>-43030.32</v>
      </c>
      <c r="J654" s="4">
        <v>-3014</v>
      </c>
      <c r="K654" s="4">
        <v>0</v>
      </c>
    </row>
    <row r="655" spans="1:11">
      <c r="A655" s="4" t="str">
        <f t="shared" si="435"/>
        <v>20161117</v>
      </c>
      <c r="B655" s="4" t="str">
        <f t="shared" si="436"/>
        <v>20161117</v>
      </c>
      <c r="C655" s="4" t="str">
        <f>"证券卖出"</f>
        <v>证券卖出</v>
      </c>
      <c r="D655" s="4" t="str">
        <f>"150197"</f>
        <v>150197</v>
      </c>
      <c r="E655" s="4" t="str">
        <f>"有色B"</f>
        <v>有色B</v>
      </c>
      <c r="F655" s="4">
        <v>1.249</v>
      </c>
      <c r="G655" s="4">
        <v>10000</v>
      </c>
      <c r="H655" s="4">
        <v>12490</v>
      </c>
      <c r="I655" s="12">
        <v>12485</v>
      </c>
      <c r="J655" s="4">
        <v>9471</v>
      </c>
      <c r="K655" s="4">
        <v>0</v>
      </c>
    </row>
    <row r="656" spans="1:11">
      <c r="A656" s="4" t="str">
        <f t="shared" si="435"/>
        <v>20161117</v>
      </c>
      <c r="B656" s="4" t="str">
        <f t="shared" si="436"/>
        <v>20161117</v>
      </c>
      <c r="C656" s="4" t="str">
        <f t="shared" ref="C656:C659" si="437">"证券买入"</f>
        <v>证券买入</v>
      </c>
      <c r="D656" s="4" t="str">
        <f>"002543"</f>
        <v>002543</v>
      </c>
      <c r="E656" s="4" t="str">
        <f>"万和电气"</f>
        <v>万和电气</v>
      </c>
      <c r="F656" s="4">
        <v>18.93</v>
      </c>
      <c r="G656" s="4">
        <v>500</v>
      </c>
      <c r="H656" s="4">
        <v>9465</v>
      </c>
      <c r="I656" s="12">
        <v>-9470</v>
      </c>
      <c r="J656" s="4">
        <v>1</v>
      </c>
      <c r="K656" s="4">
        <v>500</v>
      </c>
    </row>
    <row r="657" spans="1:11">
      <c r="A657" s="4" t="str">
        <f t="shared" ref="A657:A661" si="438">"20161118"</f>
        <v>20161118</v>
      </c>
      <c r="B657" s="4" t="str">
        <f t="shared" ref="B657:B661" si="439">"20161118"</f>
        <v>20161118</v>
      </c>
      <c r="C657" s="4" t="str">
        <f>"基金赎回拨入"</f>
        <v>基金赎回拨入</v>
      </c>
      <c r="D657" s="4" t="str">
        <f>"AA0007"</f>
        <v>AA0007</v>
      </c>
      <c r="E657" s="4" t="str">
        <f>"银河水星1号集合"</f>
        <v>银河水星1号集合</v>
      </c>
      <c r="F657" s="4">
        <v>0</v>
      </c>
      <c r="G657" s="4">
        <v>38312</v>
      </c>
      <c r="H657" s="4">
        <v>0</v>
      </c>
      <c r="I657" s="12">
        <v>38312.04</v>
      </c>
      <c r="J657" s="4">
        <v>38313.04</v>
      </c>
      <c r="K657" s="4">
        <v>0</v>
      </c>
    </row>
    <row r="658" spans="1:11">
      <c r="A658" s="4" t="str">
        <f t="shared" si="438"/>
        <v>20161118</v>
      </c>
      <c r="B658" s="4" t="str">
        <f t="shared" si="439"/>
        <v>20161118</v>
      </c>
      <c r="C658" s="4" t="str">
        <f t="shared" si="437"/>
        <v>证券买入</v>
      </c>
      <c r="D658" s="4" t="str">
        <f>"002183"</f>
        <v>002183</v>
      </c>
      <c r="E658" s="4" t="str">
        <f>"怡 亚 通"</f>
        <v>怡 亚 通</v>
      </c>
      <c r="F658" s="4">
        <v>12.7</v>
      </c>
      <c r="G658" s="4">
        <v>2000</v>
      </c>
      <c r="H658" s="4">
        <v>25400</v>
      </c>
      <c r="I658" s="12">
        <v>-25407.87</v>
      </c>
      <c r="J658" s="4">
        <v>12905.17</v>
      </c>
      <c r="K658" s="4">
        <v>6000</v>
      </c>
    </row>
    <row r="659" spans="1:11">
      <c r="A659" s="4" t="str">
        <f t="shared" si="438"/>
        <v>20161118</v>
      </c>
      <c r="B659" s="4" t="str">
        <f t="shared" si="439"/>
        <v>20161118</v>
      </c>
      <c r="C659" s="4" t="str">
        <f t="shared" si="437"/>
        <v>证券买入</v>
      </c>
      <c r="D659" s="4" t="str">
        <f>"000601"</f>
        <v>000601</v>
      </c>
      <c r="E659" s="4" t="str">
        <f>"韶能股份"</f>
        <v>韶能股份</v>
      </c>
      <c r="F659" s="4">
        <v>10.38</v>
      </c>
      <c r="G659" s="4">
        <v>1200</v>
      </c>
      <c r="H659" s="4">
        <v>12456</v>
      </c>
      <c r="I659" s="12">
        <v>-12461</v>
      </c>
      <c r="J659" s="4">
        <v>444.17</v>
      </c>
      <c r="K659" s="4">
        <v>1200</v>
      </c>
    </row>
    <row r="660" spans="1:11">
      <c r="A660" s="4" t="str">
        <f t="shared" si="438"/>
        <v>20161118</v>
      </c>
      <c r="B660" s="4" t="str">
        <f t="shared" si="439"/>
        <v>20161118</v>
      </c>
      <c r="C660" s="4" t="str">
        <f t="shared" ref="C660:C665" si="440">"证券卖出"</f>
        <v>证券卖出</v>
      </c>
      <c r="D660" s="4" t="str">
        <f>"002183"</f>
        <v>002183</v>
      </c>
      <c r="E660" s="4" t="str">
        <f>"怡 亚 通"</f>
        <v>怡 亚 通</v>
      </c>
      <c r="F660" s="4">
        <v>12.66</v>
      </c>
      <c r="G660" s="4">
        <v>4000</v>
      </c>
      <c r="H660" s="4">
        <v>50640</v>
      </c>
      <c r="I660" s="12">
        <v>50573.66</v>
      </c>
      <c r="J660" s="4">
        <v>51017.83</v>
      </c>
      <c r="K660" s="4">
        <v>2000</v>
      </c>
    </row>
    <row r="661" spans="1:11">
      <c r="A661" s="4" t="str">
        <f t="shared" si="438"/>
        <v>20161118</v>
      </c>
      <c r="B661" s="4" t="str">
        <f t="shared" si="439"/>
        <v>20161118</v>
      </c>
      <c r="C661" s="4" t="str">
        <f t="shared" ref="C661:C666" si="441">"证券买入"</f>
        <v>证券买入</v>
      </c>
      <c r="D661" s="4" t="str">
        <f t="shared" ref="D661:D665" si="442">"600575"</f>
        <v>600575</v>
      </c>
      <c r="E661" s="4" t="str">
        <f t="shared" ref="E661:E665" si="443">"皖江物流"</f>
        <v>皖江物流</v>
      </c>
      <c r="F661" s="4">
        <v>5.1</v>
      </c>
      <c r="G661" s="4">
        <v>10000</v>
      </c>
      <c r="H661" s="4">
        <v>51000</v>
      </c>
      <c r="I661" s="12">
        <v>-51016.83</v>
      </c>
      <c r="J661" s="4">
        <v>1</v>
      </c>
      <c r="K661" s="4">
        <v>10000</v>
      </c>
    </row>
    <row r="662" spans="1:11">
      <c r="A662" s="4" t="str">
        <f t="shared" ref="A662:A666" si="444">"20161121"</f>
        <v>20161121</v>
      </c>
      <c r="B662" s="4" t="str">
        <f t="shared" ref="B662:B666" si="445">"20161121"</f>
        <v>20161121</v>
      </c>
      <c r="C662" s="4" t="str">
        <f>"基金赎回拨入"</f>
        <v>基金赎回拨入</v>
      </c>
      <c r="D662" s="4" t="str">
        <f>"AA0007"</f>
        <v>AA0007</v>
      </c>
      <c r="E662" s="4" t="str">
        <f>"银河水星1号集合"</f>
        <v>银河水星1号集合</v>
      </c>
      <c r="F662" s="4">
        <v>0</v>
      </c>
      <c r="G662" s="4">
        <v>17208</v>
      </c>
      <c r="H662" s="4">
        <v>0</v>
      </c>
      <c r="I662" s="12">
        <v>17208.59</v>
      </c>
      <c r="J662" s="4">
        <v>17209.59</v>
      </c>
      <c r="K662" s="4">
        <v>0</v>
      </c>
    </row>
    <row r="663" spans="1:11">
      <c r="A663" s="4" t="str">
        <f t="shared" si="444"/>
        <v>20161121</v>
      </c>
      <c r="B663" s="4" t="str">
        <f t="shared" si="445"/>
        <v>20161121</v>
      </c>
      <c r="C663" s="4" t="str">
        <f t="shared" si="440"/>
        <v>证券卖出</v>
      </c>
      <c r="D663" s="4" t="str">
        <f t="shared" si="442"/>
        <v>600575</v>
      </c>
      <c r="E663" s="4" t="str">
        <f t="shared" si="443"/>
        <v>皖江物流</v>
      </c>
      <c r="F663" s="4">
        <v>5.43</v>
      </c>
      <c r="G663" s="4">
        <v>3000</v>
      </c>
      <c r="H663" s="4">
        <v>16290</v>
      </c>
      <c r="I663" s="12">
        <v>16268.33</v>
      </c>
      <c r="J663" s="4">
        <v>33477.92</v>
      </c>
      <c r="K663" s="4">
        <v>7000</v>
      </c>
    </row>
    <row r="664" spans="1:11">
      <c r="A664" s="4" t="str">
        <f t="shared" si="444"/>
        <v>20161121</v>
      </c>
      <c r="B664" s="4" t="str">
        <f t="shared" si="445"/>
        <v>20161121</v>
      </c>
      <c r="C664" s="4" t="str">
        <f t="shared" si="441"/>
        <v>证券买入</v>
      </c>
      <c r="D664" s="4" t="str">
        <f>"600886"</f>
        <v>600886</v>
      </c>
      <c r="E664" s="4" t="str">
        <f>"国投电力"</f>
        <v>国投电力</v>
      </c>
      <c r="F664" s="4">
        <v>6.69</v>
      </c>
      <c r="G664" s="4">
        <v>8700</v>
      </c>
      <c r="H664" s="4">
        <v>58203</v>
      </c>
      <c r="I664" s="12">
        <v>-58222.2</v>
      </c>
      <c r="J664" s="4">
        <v>-24744.28</v>
      </c>
      <c r="K664" s="4">
        <v>8700</v>
      </c>
    </row>
    <row r="665" spans="1:11">
      <c r="A665" s="4" t="str">
        <f t="shared" si="444"/>
        <v>20161121</v>
      </c>
      <c r="B665" s="4" t="str">
        <f t="shared" si="445"/>
        <v>20161121</v>
      </c>
      <c r="C665" s="4" t="str">
        <f t="shared" si="440"/>
        <v>证券卖出</v>
      </c>
      <c r="D665" s="4" t="str">
        <f t="shared" si="442"/>
        <v>600575</v>
      </c>
      <c r="E665" s="4" t="str">
        <f t="shared" si="443"/>
        <v>皖江物流</v>
      </c>
      <c r="F665" s="4">
        <v>5.34</v>
      </c>
      <c r="G665" s="4">
        <v>7000</v>
      </c>
      <c r="H665" s="4">
        <v>37380</v>
      </c>
      <c r="I665" s="12">
        <v>37330.28</v>
      </c>
      <c r="J665" s="4">
        <v>12586</v>
      </c>
      <c r="K665" s="4">
        <v>0</v>
      </c>
    </row>
    <row r="666" spans="1:11">
      <c r="A666" s="4" t="str">
        <f t="shared" si="444"/>
        <v>20161121</v>
      </c>
      <c r="B666" s="4" t="str">
        <f t="shared" si="445"/>
        <v>20161121</v>
      </c>
      <c r="C666" s="4" t="str">
        <f t="shared" si="441"/>
        <v>证券买入</v>
      </c>
      <c r="D666" s="4" t="str">
        <f>"150197"</f>
        <v>150197</v>
      </c>
      <c r="E666" s="4" t="str">
        <f>"有色B"</f>
        <v>有色B</v>
      </c>
      <c r="F666" s="4">
        <v>1.258</v>
      </c>
      <c r="G666" s="4">
        <v>10000</v>
      </c>
      <c r="H666" s="4">
        <v>12580</v>
      </c>
      <c r="I666" s="12">
        <v>-12585</v>
      </c>
      <c r="J666" s="4">
        <v>1</v>
      </c>
      <c r="K666" s="4">
        <v>10000</v>
      </c>
    </row>
    <row r="667" spans="1:11">
      <c r="A667" s="4" t="str">
        <f t="shared" ref="A667:A669" si="446">"20161122"</f>
        <v>20161122</v>
      </c>
      <c r="B667" s="4" t="str">
        <f t="shared" ref="B667:B669" si="447">"20161122"</f>
        <v>20161122</v>
      </c>
      <c r="C667" s="4" t="str">
        <f>"基金赎回拨入"</f>
        <v>基金赎回拨入</v>
      </c>
      <c r="D667" s="4" t="str">
        <f>"AA0007"</f>
        <v>AA0007</v>
      </c>
      <c r="E667" s="4" t="str">
        <f>"银河水星1号集合"</f>
        <v>银河水星1号集合</v>
      </c>
      <c r="F667" s="4">
        <v>0</v>
      </c>
      <c r="G667" s="4">
        <v>12322</v>
      </c>
      <c r="H667" s="4">
        <v>0</v>
      </c>
      <c r="I667" s="12">
        <v>12322.86</v>
      </c>
      <c r="J667" s="4">
        <v>12323.86</v>
      </c>
      <c r="K667" s="4">
        <v>0</v>
      </c>
    </row>
    <row r="668" spans="1:11">
      <c r="A668" s="4" t="str">
        <f t="shared" si="446"/>
        <v>20161122</v>
      </c>
      <c r="B668" s="4" t="str">
        <f t="shared" si="447"/>
        <v>20161122</v>
      </c>
      <c r="C668" s="4" t="str">
        <f>"证券卖出"</f>
        <v>证券卖出</v>
      </c>
      <c r="D668" s="4" t="str">
        <f>"150197"</f>
        <v>150197</v>
      </c>
      <c r="E668" s="4" t="str">
        <f>"有色B"</f>
        <v>有色B</v>
      </c>
      <c r="F668" s="4">
        <v>1.305</v>
      </c>
      <c r="G668" s="4">
        <v>10000</v>
      </c>
      <c r="H668" s="4">
        <v>13050</v>
      </c>
      <c r="I668" s="12">
        <v>13045</v>
      </c>
      <c r="J668" s="4">
        <v>25368.86</v>
      </c>
      <c r="K668" s="4">
        <v>0</v>
      </c>
    </row>
    <row r="669" spans="1:11">
      <c r="A669" s="4" t="str">
        <f t="shared" si="446"/>
        <v>20161122</v>
      </c>
      <c r="B669" s="4" t="str">
        <f t="shared" si="447"/>
        <v>20161122</v>
      </c>
      <c r="C669" s="4" t="str">
        <f t="shared" ref="C669:C673" si="448">"证券买入"</f>
        <v>证券买入</v>
      </c>
      <c r="D669" s="4" t="str">
        <f>"002183"</f>
        <v>002183</v>
      </c>
      <c r="E669" s="4" t="str">
        <f>"怡 亚 通"</f>
        <v>怡 亚 通</v>
      </c>
      <c r="F669" s="4">
        <v>12.68</v>
      </c>
      <c r="G669" s="4">
        <v>2000</v>
      </c>
      <c r="H669" s="4">
        <v>25360</v>
      </c>
      <c r="I669" s="12">
        <v>-25367.86</v>
      </c>
      <c r="J669" s="4">
        <v>1</v>
      </c>
      <c r="K669" s="4">
        <v>4000</v>
      </c>
    </row>
    <row r="670" spans="1:11">
      <c r="A670" s="4" t="str">
        <f t="shared" ref="A670:A673" si="449">"20161123"</f>
        <v>20161123</v>
      </c>
      <c r="B670" s="4" t="str">
        <f t="shared" ref="B670:B673" si="450">"20161123"</f>
        <v>20161123</v>
      </c>
      <c r="C670" s="4" t="str">
        <f>"基金申购拨出"</f>
        <v>基金申购拨出</v>
      </c>
      <c r="D670" s="4" t="str">
        <f>"AA0007"</f>
        <v>AA0007</v>
      </c>
      <c r="E670" s="4" t="str">
        <f>"银河水星1号集合"</f>
        <v>银河水星1号集合</v>
      </c>
      <c r="F670" s="4">
        <v>0</v>
      </c>
      <c r="G670" s="4">
        <v>0</v>
      </c>
      <c r="H670" s="4">
        <v>0</v>
      </c>
      <c r="I670" s="12">
        <v>-37835.74</v>
      </c>
      <c r="J670" s="4">
        <v>-37834.74</v>
      </c>
      <c r="K670" s="4">
        <v>0</v>
      </c>
    </row>
    <row r="671" spans="1:11">
      <c r="A671" s="4" t="str">
        <f t="shared" si="449"/>
        <v>20161123</v>
      </c>
      <c r="B671" s="4" t="str">
        <f t="shared" si="450"/>
        <v>20161123</v>
      </c>
      <c r="C671" s="4" t="str">
        <f t="shared" si="448"/>
        <v>证券买入</v>
      </c>
      <c r="D671" s="4" t="str">
        <f>"002543"</f>
        <v>002543</v>
      </c>
      <c r="E671" s="4" t="str">
        <f>"万和电气"</f>
        <v>万和电气</v>
      </c>
      <c r="F671" s="4">
        <v>19.24</v>
      </c>
      <c r="G671" s="4">
        <v>500</v>
      </c>
      <c r="H671" s="4">
        <v>9620</v>
      </c>
      <c r="I671" s="12">
        <v>-9625</v>
      </c>
      <c r="J671" s="4">
        <v>-47459.74</v>
      </c>
      <c r="K671" s="4">
        <v>1000</v>
      </c>
    </row>
    <row r="672" spans="1:11">
      <c r="A672" s="4" t="str">
        <f t="shared" si="449"/>
        <v>20161123</v>
      </c>
      <c r="B672" s="4" t="str">
        <f t="shared" si="450"/>
        <v>20161123</v>
      </c>
      <c r="C672" s="4" t="str">
        <f>"证券卖出"</f>
        <v>证券卖出</v>
      </c>
      <c r="D672" s="4" t="str">
        <f>"600886"</f>
        <v>600886</v>
      </c>
      <c r="E672" s="4" t="str">
        <f>"国投电力"</f>
        <v>国投电力</v>
      </c>
      <c r="F672" s="4">
        <v>6.85</v>
      </c>
      <c r="G672" s="4">
        <v>8700</v>
      </c>
      <c r="H672" s="4">
        <v>59595</v>
      </c>
      <c r="I672" s="12">
        <v>59515.74</v>
      </c>
      <c r="J672" s="4">
        <v>12056</v>
      </c>
      <c r="K672" s="4">
        <v>0</v>
      </c>
    </row>
    <row r="673" spans="1:11">
      <c r="A673" s="4" t="str">
        <f t="shared" si="449"/>
        <v>20161123</v>
      </c>
      <c r="B673" s="4" t="str">
        <f t="shared" si="450"/>
        <v>20161123</v>
      </c>
      <c r="C673" s="4" t="str">
        <f t="shared" si="448"/>
        <v>证券买入</v>
      </c>
      <c r="D673" s="4" t="str">
        <f>"150182"</f>
        <v>150182</v>
      </c>
      <c r="E673" s="4" t="str">
        <f>"军工B"</f>
        <v>军工B</v>
      </c>
      <c r="F673" s="4">
        <v>1.205</v>
      </c>
      <c r="G673" s="4">
        <v>10000</v>
      </c>
      <c r="H673" s="4">
        <v>12050</v>
      </c>
      <c r="I673" s="12">
        <v>-12055</v>
      </c>
      <c r="J673" s="4">
        <v>1</v>
      </c>
      <c r="K673" s="4">
        <v>10000</v>
      </c>
    </row>
    <row r="674" spans="1:11">
      <c r="A674" s="4" t="str">
        <f t="shared" ref="A674:A677" si="451">"20161124"</f>
        <v>20161124</v>
      </c>
      <c r="B674" s="4" t="str">
        <f t="shared" ref="B674:B677" si="452">"20161124"</f>
        <v>20161124</v>
      </c>
      <c r="C674" s="4" t="str">
        <f>"基金赎回拨入"</f>
        <v>基金赎回拨入</v>
      </c>
      <c r="D674" s="4" t="str">
        <f>"AA0007"</f>
        <v>AA0007</v>
      </c>
      <c r="E674" s="4" t="str">
        <f>"银河水星1号集合"</f>
        <v>银河水星1号集合</v>
      </c>
      <c r="F674" s="4">
        <v>0</v>
      </c>
      <c r="G674" s="4">
        <v>14765</v>
      </c>
      <c r="H674" s="4">
        <v>0</v>
      </c>
      <c r="I674" s="12">
        <v>14765</v>
      </c>
      <c r="J674" s="4">
        <v>14766</v>
      </c>
      <c r="K674" s="4">
        <v>0</v>
      </c>
    </row>
    <row r="675" spans="1:11">
      <c r="A675" s="4" t="str">
        <f t="shared" si="451"/>
        <v>20161124</v>
      </c>
      <c r="B675" s="4" t="str">
        <f t="shared" si="452"/>
        <v>20161124</v>
      </c>
      <c r="C675" s="4" t="str">
        <f>"证券卖出"</f>
        <v>证券卖出</v>
      </c>
      <c r="D675" s="4" t="str">
        <f>"150182"</f>
        <v>150182</v>
      </c>
      <c r="E675" s="4" t="str">
        <f>"军工B"</f>
        <v>军工B</v>
      </c>
      <c r="F675" s="4">
        <v>1.165</v>
      </c>
      <c r="G675" s="4">
        <v>10000</v>
      </c>
      <c r="H675" s="4">
        <v>11650</v>
      </c>
      <c r="I675" s="12">
        <v>11645</v>
      </c>
      <c r="J675" s="4">
        <v>26411</v>
      </c>
      <c r="K675" s="4">
        <v>0</v>
      </c>
    </row>
    <row r="676" spans="1:11">
      <c r="A676" s="4" t="str">
        <f t="shared" si="451"/>
        <v>20161124</v>
      </c>
      <c r="B676" s="4" t="str">
        <f t="shared" si="452"/>
        <v>20161124</v>
      </c>
      <c r="C676" s="4" t="str">
        <f t="shared" ref="C676:C679" si="453">"证券买入"</f>
        <v>证券买入</v>
      </c>
      <c r="D676" s="4" t="str">
        <f t="shared" ref="D676:D680" si="454">"150197"</f>
        <v>150197</v>
      </c>
      <c r="E676" s="4" t="str">
        <f t="shared" ref="E676:E680" si="455">"有色B"</f>
        <v>有色B</v>
      </c>
      <c r="F676" s="4">
        <v>1.328</v>
      </c>
      <c r="G676" s="4">
        <v>10000</v>
      </c>
      <c r="H676" s="4">
        <v>13280</v>
      </c>
      <c r="I676" s="12">
        <v>-13285</v>
      </c>
      <c r="J676" s="4">
        <v>13126</v>
      </c>
      <c r="K676" s="4">
        <v>10000</v>
      </c>
    </row>
    <row r="677" spans="1:11">
      <c r="A677" s="4" t="str">
        <f t="shared" si="451"/>
        <v>20161124</v>
      </c>
      <c r="B677" s="4" t="str">
        <f t="shared" si="452"/>
        <v>20161124</v>
      </c>
      <c r="C677" s="4" t="str">
        <f t="shared" si="453"/>
        <v>证券买入</v>
      </c>
      <c r="D677" s="4" t="str">
        <f t="shared" si="454"/>
        <v>150197</v>
      </c>
      <c r="E677" s="4" t="str">
        <f t="shared" si="455"/>
        <v>有色B</v>
      </c>
      <c r="F677" s="4">
        <v>1.312</v>
      </c>
      <c r="G677" s="4">
        <v>10000</v>
      </c>
      <c r="H677" s="4">
        <v>13120</v>
      </c>
      <c r="I677" s="12">
        <v>-13125</v>
      </c>
      <c r="J677" s="4">
        <v>1</v>
      </c>
      <c r="K677" s="4">
        <v>20000</v>
      </c>
    </row>
    <row r="678" spans="1:11">
      <c r="A678" s="4" t="str">
        <f t="shared" ref="A678:A681" si="456">"20161125"</f>
        <v>20161125</v>
      </c>
      <c r="B678" s="4" t="str">
        <f t="shared" ref="B678:B681" si="457">"20161125"</f>
        <v>20161125</v>
      </c>
      <c r="C678" s="4" t="str">
        <f>"基金赎回拨入"</f>
        <v>基金赎回拨入</v>
      </c>
      <c r="D678" s="4" t="str">
        <f>"AA0007"</f>
        <v>AA0007</v>
      </c>
      <c r="E678" s="4" t="str">
        <f>"银河水星1号集合"</f>
        <v>银河水星1号集合</v>
      </c>
      <c r="F678" s="4">
        <v>0</v>
      </c>
      <c r="G678" s="4">
        <v>4710</v>
      </c>
      <c r="H678" s="4">
        <v>0</v>
      </c>
      <c r="I678" s="12">
        <v>4710.4</v>
      </c>
      <c r="J678" s="4">
        <v>4711.4</v>
      </c>
      <c r="K678" s="4">
        <v>0</v>
      </c>
    </row>
    <row r="679" spans="1:11">
      <c r="A679" s="4" t="str">
        <f t="shared" si="456"/>
        <v>20161125</v>
      </c>
      <c r="B679" s="4" t="str">
        <f t="shared" si="457"/>
        <v>20161125</v>
      </c>
      <c r="C679" s="4" t="str">
        <f t="shared" si="453"/>
        <v>证券买入</v>
      </c>
      <c r="D679" s="4" t="str">
        <f>"600886"</f>
        <v>600886</v>
      </c>
      <c r="E679" s="4" t="str">
        <f>"国投电力"</f>
        <v>国投电力</v>
      </c>
      <c r="F679" s="4">
        <v>6.76</v>
      </c>
      <c r="G679" s="4">
        <v>2500</v>
      </c>
      <c r="H679" s="4">
        <v>16900</v>
      </c>
      <c r="I679" s="12">
        <v>-16905.58</v>
      </c>
      <c r="J679" s="4">
        <v>-12194.18</v>
      </c>
      <c r="K679" s="4">
        <v>2500</v>
      </c>
    </row>
    <row r="680" spans="1:11">
      <c r="A680" s="4" t="str">
        <f t="shared" si="456"/>
        <v>20161125</v>
      </c>
      <c r="B680" s="4" t="str">
        <f t="shared" si="457"/>
        <v>20161125</v>
      </c>
      <c r="C680" s="4" t="str">
        <f>"证券卖出"</f>
        <v>证券卖出</v>
      </c>
      <c r="D680" s="4" t="str">
        <f t="shared" si="454"/>
        <v>150197</v>
      </c>
      <c r="E680" s="4" t="str">
        <f t="shared" si="455"/>
        <v>有色B</v>
      </c>
      <c r="F680" s="4">
        <v>1.262</v>
      </c>
      <c r="G680" s="4">
        <v>20000</v>
      </c>
      <c r="H680" s="4">
        <v>25240</v>
      </c>
      <c r="I680" s="12">
        <v>25232.18</v>
      </c>
      <c r="J680" s="4">
        <v>13038</v>
      </c>
      <c r="K680" s="4">
        <v>0</v>
      </c>
    </row>
    <row r="681" spans="1:11">
      <c r="A681" s="4" t="str">
        <f t="shared" si="456"/>
        <v>20161125</v>
      </c>
      <c r="B681" s="4" t="str">
        <f t="shared" si="457"/>
        <v>20161125</v>
      </c>
      <c r="C681" s="4" t="str">
        <f>"证券买入"</f>
        <v>证券买入</v>
      </c>
      <c r="D681" s="4" t="str">
        <f>"000601"</f>
        <v>000601</v>
      </c>
      <c r="E681" s="4" t="str">
        <f>"韶能股份"</f>
        <v>韶能股份</v>
      </c>
      <c r="F681" s="4">
        <v>10.86</v>
      </c>
      <c r="G681" s="4">
        <v>1200</v>
      </c>
      <c r="H681" s="4">
        <v>13032</v>
      </c>
      <c r="I681" s="12">
        <v>-13037</v>
      </c>
      <c r="J681" s="4">
        <v>1</v>
      </c>
      <c r="K681" s="4">
        <v>2400</v>
      </c>
    </row>
    <row r="682" spans="1:11">
      <c r="A682" s="4" t="str">
        <f t="shared" ref="A682:A684" si="458">"20161129"</f>
        <v>20161129</v>
      </c>
      <c r="B682" s="4" t="str">
        <f t="shared" ref="B682:B684" si="459">"20161129"</f>
        <v>20161129</v>
      </c>
      <c r="C682" s="4" t="str">
        <f>"基金申购拨出"</f>
        <v>基金申购拨出</v>
      </c>
      <c r="D682" s="4" t="str">
        <f>"AA0007"</f>
        <v>AA0007</v>
      </c>
      <c r="E682" s="4" t="str">
        <f>"银河水星1号集合"</f>
        <v>银河水星1号集合</v>
      </c>
      <c r="F682" s="4">
        <v>0</v>
      </c>
      <c r="G682" s="4">
        <v>0</v>
      </c>
      <c r="H682" s="4">
        <v>0</v>
      </c>
      <c r="I682" s="12">
        <v>-5276.88</v>
      </c>
      <c r="J682" s="4">
        <v>-5275.88</v>
      </c>
      <c r="K682" s="4">
        <v>0</v>
      </c>
    </row>
    <row r="683" spans="1:11">
      <c r="A683" s="4" t="str">
        <f t="shared" si="458"/>
        <v>20161129</v>
      </c>
      <c r="B683" s="4" t="str">
        <f t="shared" si="459"/>
        <v>20161129</v>
      </c>
      <c r="C683" s="4" t="str">
        <f>"证券卖出"</f>
        <v>证券卖出</v>
      </c>
      <c r="D683" s="4" t="str">
        <f>"600886"</f>
        <v>600886</v>
      </c>
      <c r="E683" s="4" t="str">
        <f>"国投电力"</f>
        <v>国投电力</v>
      </c>
      <c r="F683" s="4">
        <v>6.95</v>
      </c>
      <c r="G683" s="4">
        <v>2500</v>
      </c>
      <c r="H683" s="4">
        <v>17375</v>
      </c>
      <c r="I683" s="12">
        <v>17351.88</v>
      </c>
      <c r="J683" s="4">
        <v>12076</v>
      </c>
      <c r="K683" s="4">
        <v>0</v>
      </c>
    </row>
    <row r="684" spans="1:11">
      <c r="A684" s="4" t="str">
        <f t="shared" si="458"/>
        <v>20161129</v>
      </c>
      <c r="B684" s="4" t="str">
        <f t="shared" si="459"/>
        <v>20161129</v>
      </c>
      <c r="C684" s="4" t="str">
        <f t="shared" ref="C684:C688" si="460">"证券买入"</f>
        <v>证券买入</v>
      </c>
      <c r="D684" s="4" t="str">
        <f>"002183"</f>
        <v>002183</v>
      </c>
      <c r="E684" s="4" t="str">
        <f>"怡 亚 通"</f>
        <v>怡 亚 通</v>
      </c>
      <c r="F684" s="4">
        <v>12.07</v>
      </c>
      <c r="G684" s="4">
        <v>1000</v>
      </c>
      <c r="H684" s="4">
        <v>12070</v>
      </c>
      <c r="I684" s="12">
        <v>-12075</v>
      </c>
      <c r="J684" s="4">
        <v>1</v>
      </c>
      <c r="K684" s="4">
        <v>5000</v>
      </c>
    </row>
    <row r="685" spans="1:11">
      <c r="A685" s="4" t="str">
        <f t="shared" ref="A685:A688" si="461">"20161130"</f>
        <v>20161130</v>
      </c>
      <c r="B685" s="4" t="str">
        <f t="shared" ref="B685:B691" si="462">"20161130"</f>
        <v>20161130</v>
      </c>
      <c r="C685" s="4" t="str">
        <f>"银行转证券"</f>
        <v>银行转证券</v>
      </c>
      <c r="D685" s="4"/>
      <c r="E685" s="4"/>
      <c r="F685" s="4">
        <v>0</v>
      </c>
      <c r="G685" s="4">
        <v>0</v>
      </c>
      <c r="H685" s="4">
        <v>0</v>
      </c>
      <c r="I685" s="12">
        <v>80000</v>
      </c>
      <c r="J685" s="4">
        <v>80001</v>
      </c>
      <c r="K685" s="4">
        <v>0</v>
      </c>
    </row>
    <row r="686" spans="1:11">
      <c r="A686" s="4" t="str">
        <f t="shared" si="461"/>
        <v>20161130</v>
      </c>
      <c r="B686" s="4" t="str">
        <f t="shared" si="462"/>
        <v>20161130</v>
      </c>
      <c r="C686" s="4" t="str">
        <f>"基金赎回拨入"</f>
        <v>基金赎回拨入</v>
      </c>
      <c r="D686" s="4" t="str">
        <f>"AA0007"</f>
        <v>AA0007</v>
      </c>
      <c r="E686" s="4" t="str">
        <f>"银河水星1号集合"</f>
        <v>银河水星1号集合</v>
      </c>
      <c r="F686" s="4">
        <v>0</v>
      </c>
      <c r="G686" s="4">
        <v>29939</v>
      </c>
      <c r="H686" s="4">
        <v>0</v>
      </c>
      <c r="I686" s="12">
        <v>29939.3</v>
      </c>
      <c r="J686" s="4">
        <v>109940.3</v>
      </c>
      <c r="K686" s="4">
        <v>0</v>
      </c>
    </row>
    <row r="687" spans="1:11">
      <c r="A687" s="4" t="str">
        <f t="shared" si="461"/>
        <v>20161130</v>
      </c>
      <c r="B687" s="4" t="str">
        <f t="shared" si="462"/>
        <v>20161130</v>
      </c>
      <c r="C687" s="4" t="str">
        <f t="shared" si="460"/>
        <v>证券买入</v>
      </c>
      <c r="D687" s="4" t="str">
        <f t="shared" ref="D687:D691" si="463">"511990"</f>
        <v>511990</v>
      </c>
      <c r="E687" s="4" t="str">
        <f t="shared" ref="E687:E691" si="464">"华宝添益"</f>
        <v>华宝添益</v>
      </c>
      <c r="F687" s="4">
        <v>99.939</v>
      </c>
      <c r="G687" s="4">
        <v>300</v>
      </c>
      <c r="H687" s="4">
        <v>29981.7</v>
      </c>
      <c r="I687" s="12">
        <v>-29981.7</v>
      </c>
      <c r="J687" s="4">
        <v>79958.6</v>
      </c>
      <c r="K687" s="4">
        <v>300</v>
      </c>
    </row>
    <row r="688" spans="1:11">
      <c r="A688" s="4" t="str">
        <f t="shared" si="461"/>
        <v>20161130</v>
      </c>
      <c r="B688" s="4" t="str">
        <f t="shared" si="462"/>
        <v>20161130</v>
      </c>
      <c r="C688" s="4" t="str">
        <f t="shared" si="460"/>
        <v>证券买入</v>
      </c>
      <c r="D688" s="4" t="str">
        <f t="shared" si="463"/>
        <v>511990</v>
      </c>
      <c r="E688" s="4" t="str">
        <f t="shared" si="464"/>
        <v>华宝添益</v>
      </c>
      <c r="F688" s="4">
        <v>99.947</v>
      </c>
      <c r="G688" s="4">
        <v>800</v>
      </c>
      <c r="H688" s="4">
        <v>79957.6</v>
      </c>
      <c r="I688" s="12">
        <v>-79957.6</v>
      </c>
      <c r="J688" s="4">
        <v>1</v>
      </c>
      <c r="K688" s="4">
        <v>1100</v>
      </c>
    </row>
    <row r="689" spans="1:11">
      <c r="A689" s="4" t="str">
        <f t="shared" ref="A689:A691" si="465">"20161201"</f>
        <v>20161201</v>
      </c>
      <c r="B689" s="4" t="str">
        <f t="shared" si="462"/>
        <v>20161130</v>
      </c>
      <c r="C689" s="4" t="str">
        <f>"ETF 基金赎回"</f>
        <v>ETF 基金赎回</v>
      </c>
      <c r="D689" s="4" t="str">
        <f>"511991"</f>
        <v>511991</v>
      </c>
      <c r="E689" s="4" t="str">
        <f>"添益申赎"</f>
        <v>添益申赎</v>
      </c>
      <c r="F689" s="4">
        <v>0</v>
      </c>
      <c r="G689" s="4">
        <v>300</v>
      </c>
      <c r="H689" s="4">
        <v>0</v>
      </c>
      <c r="I689" s="12">
        <v>0</v>
      </c>
      <c r="J689" s="4">
        <v>1</v>
      </c>
      <c r="K689" s="4">
        <v>0</v>
      </c>
    </row>
    <row r="690" spans="1:11">
      <c r="A690" s="4" t="str">
        <f t="shared" si="465"/>
        <v>20161201</v>
      </c>
      <c r="B690" s="4" t="str">
        <f t="shared" si="462"/>
        <v>20161130</v>
      </c>
      <c r="C690" s="4" t="str">
        <f>"ETF 基金赎回"</f>
        <v>ETF 基金赎回</v>
      </c>
      <c r="D690" s="4" t="str">
        <f>"511991"</f>
        <v>511991</v>
      </c>
      <c r="E690" s="4" t="str">
        <f>"添益申赎"</f>
        <v>添益申赎</v>
      </c>
      <c r="F690" s="4">
        <v>0</v>
      </c>
      <c r="G690" s="4">
        <v>800</v>
      </c>
      <c r="H690" s="4">
        <v>0</v>
      </c>
      <c r="I690" s="12">
        <v>0</v>
      </c>
      <c r="J690" s="4">
        <v>1</v>
      </c>
      <c r="K690" s="4">
        <v>0</v>
      </c>
    </row>
    <row r="691" spans="1:11">
      <c r="A691" s="4" t="str">
        <f t="shared" si="465"/>
        <v>20161201</v>
      </c>
      <c r="B691" s="4" t="str">
        <f t="shared" si="462"/>
        <v>20161130</v>
      </c>
      <c r="C691" s="4" t="str">
        <f>"ETF 申购退款"</f>
        <v>ETF 申购退款</v>
      </c>
      <c r="D691" s="4" t="str">
        <f t="shared" si="463"/>
        <v>511990</v>
      </c>
      <c r="E691" s="4" t="str">
        <f t="shared" si="464"/>
        <v>华宝添益</v>
      </c>
      <c r="F691" s="4">
        <v>0</v>
      </c>
      <c r="G691" s="4">
        <v>0</v>
      </c>
      <c r="H691" s="4">
        <v>110002.54</v>
      </c>
      <c r="I691" s="12">
        <v>110002.54</v>
      </c>
      <c r="J691" s="4">
        <v>110003.54</v>
      </c>
      <c r="K691" s="4">
        <v>0</v>
      </c>
    </row>
    <row r="692" spans="1:11">
      <c r="A692" s="4" t="str">
        <f>"20161202"</f>
        <v>20161202</v>
      </c>
      <c r="B692" s="4" t="str">
        <f>"20161202"</f>
        <v>20161202</v>
      </c>
      <c r="C692" s="4" t="str">
        <f>"基金申购拨出"</f>
        <v>基金申购拨出</v>
      </c>
      <c r="D692" s="4" t="str">
        <f t="shared" ref="D692:D696" si="466">"AA0007"</f>
        <v>AA0007</v>
      </c>
      <c r="E692" s="4" t="str">
        <f t="shared" ref="E692:E696" si="467">"银河水星1号集合"</f>
        <v>银河水星1号集合</v>
      </c>
      <c r="F692" s="4">
        <v>0</v>
      </c>
      <c r="G692" s="4">
        <v>0</v>
      </c>
      <c r="H692" s="4">
        <v>0</v>
      </c>
      <c r="I692" s="12">
        <v>-30003.34</v>
      </c>
      <c r="J692" s="4">
        <v>80000.2</v>
      </c>
      <c r="K692" s="4">
        <v>0</v>
      </c>
    </row>
    <row r="693" spans="1:11">
      <c r="A693" s="4" t="str">
        <f>"20161202"</f>
        <v>20161202</v>
      </c>
      <c r="B693" s="4" t="str">
        <f>"20161202"</f>
        <v>20161202</v>
      </c>
      <c r="C693" s="4" t="str">
        <f t="shared" ref="C693:C698" si="468">"证券买入"</f>
        <v>证券买入</v>
      </c>
      <c r="D693" s="4" t="str">
        <f>"511990"</f>
        <v>511990</v>
      </c>
      <c r="E693" s="4" t="str">
        <f>"华宝添益"</f>
        <v>华宝添益</v>
      </c>
      <c r="F693" s="4">
        <v>99.999</v>
      </c>
      <c r="G693" s="4">
        <v>800</v>
      </c>
      <c r="H693" s="4">
        <v>79999.2</v>
      </c>
      <c r="I693" s="12">
        <v>-79999.2</v>
      </c>
      <c r="J693" s="4">
        <v>1</v>
      </c>
      <c r="K693" s="4">
        <v>800</v>
      </c>
    </row>
    <row r="694" spans="1:11">
      <c r="A694" s="4" t="str">
        <f>"20161205"</f>
        <v>20161205</v>
      </c>
      <c r="B694" s="4" t="str">
        <f t="shared" ref="B694:B697" si="469">"20161205"</f>
        <v>20161205</v>
      </c>
      <c r="C694" s="4" t="str">
        <f>"基金赎回拨入"</f>
        <v>基金赎回拨入</v>
      </c>
      <c r="D694" s="4" t="str">
        <f t="shared" si="466"/>
        <v>AA0007</v>
      </c>
      <c r="E694" s="4" t="str">
        <f t="shared" si="467"/>
        <v>银河水星1号集合</v>
      </c>
      <c r="F694" s="4">
        <v>0</v>
      </c>
      <c r="G694" s="4">
        <v>9305</v>
      </c>
      <c r="H694" s="4">
        <v>0</v>
      </c>
      <c r="I694" s="12">
        <v>9305</v>
      </c>
      <c r="J694" s="4">
        <v>9306</v>
      </c>
      <c r="K694" s="4">
        <v>0</v>
      </c>
    </row>
    <row r="695" spans="1:11">
      <c r="A695" s="4" t="str">
        <f>"20161205"</f>
        <v>20161205</v>
      </c>
      <c r="B695" s="4" t="str">
        <f t="shared" si="469"/>
        <v>20161205</v>
      </c>
      <c r="C695" s="4" t="str">
        <f t="shared" si="468"/>
        <v>证券买入</v>
      </c>
      <c r="D695" s="4" t="str">
        <f>"000601"</f>
        <v>000601</v>
      </c>
      <c r="E695" s="4" t="str">
        <f>"韶能股份"</f>
        <v>韶能股份</v>
      </c>
      <c r="F695" s="4">
        <v>9.3</v>
      </c>
      <c r="G695" s="4">
        <v>1000</v>
      </c>
      <c r="H695" s="4">
        <v>9300</v>
      </c>
      <c r="I695" s="12">
        <v>-9305</v>
      </c>
      <c r="J695" s="4">
        <v>1</v>
      </c>
      <c r="K695" s="4">
        <v>3400</v>
      </c>
    </row>
    <row r="696" spans="1:11">
      <c r="A696" s="4" t="str">
        <f t="shared" ref="A696:A699" si="470">"20161206"</f>
        <v>20161206</v>
      </c>
      <c r="B696" s="4" t="str">
        <f>"20161206"</f>
        <v>20161206</v>
      </c>
      <c r="C696" s="4" t="str">
        <f>"基金赎回拨入"</f>
        <v>基金赎回拨入</v>
      </c>
      <c r="D696" s="4" t="str">
        <f t="shared" si="466"/>
        <v>AA0007</v>
      </c>
      <c r="E696" s="4" t="str">
        <f t="shared" si="467"/>
        <v>银河水星1号集合</v>
      </c>
      <c r="F696" s="4">
        <v>0</v>
      </c>
      <c r="G696" s="4">
        <v>17155</v>
      </c>
      <c r="H696" s="4">
        <v>0</v>
      </c>
      <c r="I696" s="12">
        <v>17155.66</v>
      </c>
      <c r="J696" s="4">
        <v>17156.66</v>
      </c>
      <c r="K696" s="4">
        <v>0</v>
      </c>
    </row>
    <row r="697" spans="1:11">
      <c r="A697" s="4" t="str">
        <f t="shared" si="470"/>
        <v>20161206</v>
      </c>
      <c r="B697" s="4" t="str">
        <f t="shared" si="469"/>
        <v>20161205</v>
      </c>
      <c r="C697" s="4" t="str">
        <f>"ETF 基金赎回"</f>
        <v>ETF 基金赎回</v>
      </c>
      <c r="D697" s="4" t="str">
        <f>"511991"</f>
        <v>511991</v>
      </c>
      <c r="E697" s="4" t="str">
        <f>"添益申赎"</f>
        <v>添益申赎</v>
      </c>
      <c r="F697" s="4">
        <v>0</v>
      </c>
      <c r="G697" s="4">
        <v>800</v>
      </c>
      <c r="H697" s="4">
        <v>0</v>
      </c>
      <c r="I697" s="12">
        <v>0</v>
      </c>
      <c r="J697" s="4">
        <v>17156.66</v>
      </c>
      <c r="K697" s="4">
        <v>0</v>
      </c>
    </row>
    <row r="698" spans="1:11">
      <c r="A698" s="4" t="str">
        <f t="shared" si="470"/>
        <v>20161206</v>
      </c>
      <c r="B698" s="4" t="str">
        <f>"20161206"</f>
        <v>20161206</v>
      </c>
      <c r="C698" s="4" t="str">
        <f t="shared" si="468"/>
        <v>证券买入</v>
      </c>
      <c r="D698" s="4" t="str">
        <f>"600886"</f>
        <v>600886</v>
      </c>
      <c r="E698" s="4" t="str">
        <f>"国投电力"</f>
        <v>国投电力</v>
      </c>
      <c r="F698" s="4">
        <v>6.86</v>
      </c>
      <c r="G698" s="4">
        <v>2500</v>
      </c>
      <c r="H698" s="4">
        <v>17150</v>
      </c>
      <c r="I698" s="12">
        <v>-17155.66</v>
      </c>
      <c r="J698" s="4">
        <v>1</v>
      </c>
      <c r="K698" s="4">
        <v>2500</v>
      </c>
    </row>
    <row r="699" spans="1:11">
      <c r="A699" s="4" t="str">
        <f t="shared" si="470"/>
        <v>20161206</v>
      </c>
      <c r="B699" s="4" t="str">
        <f>"20161205"</f>
        <v>20161205</v>
      </c>
      <c r="C699" s="4" t="str">
        <f>"ETF 申购退款"</f>
        <v>ETF 申购退款</v>
      </c>
      <c r="D699" s="4" t="str">
        <f>"511990"</f>
        <v>511990</v>
      </c>
      <c r="E699" s="4" t="str">
        <f>"华宝添益"</f>
        <v>华宝添益</v>
      </c>
      <c r="F699" s="4">
        <v>0</v>
      </c>
      <c r="G699" s="4">
        <v>0</v>
      </c>
      <c r="H699" s="4">
        <v>80020.93</v>
      </c>
      <c r="I699" s="12">
        <v>80020.93</v>
      </c>
      <c r="J699" s="4">
        <v>80021.93</v>
      </c>
      <c r="K699" s="4">
        <v>0</v>
      </c>
    </row>
    <row r="700" spans="1:11">
      <c r="A700" s="4" t="str">
        <f>"20161207"</f>
        <v>20161207</v>
      </c>
      <c r="B700" s="4" t="str">
        <f>"20161207"</f>
        <v>20161207</v>
      </c>
      <c r="C700" s="4" t="str">
        <f>"基金申购拨出"</f>
        <v>基金申购拨出</v>
      </c>
      <c r="D700" s="4" t="str">
        <f t="shared" ref="D700:D703" si="471">"AA0007"</f>
        <v>AA0007</v>
      </c>
      <c r="E700" s="4" t="str">
        <f t="shared" ref="E700:E703" si="472">"银河水星1号集合"</f>
        <v>银河水星1号集合</v>
      </c>
      <c r="F700" s="4">
        <v>0</v>
      </c>
      <c r="G700" s="4">
        <v>0</v>
      </c>
      <c r="H700" s="4">
        <v>0</v>
      </c>
      <c r="I700" s="12">
        <v>-80021.93</v>
      </c>
      <c r="J700" s="4">
        <v>0</v>
      </c>
      <c r="K700" s="4">
        <v>0</v>
      </c>
    </row>
    <row r="701" spans="1:11">
      <c r="A701" s="4" t="str">
        <f>"20161213"</f>
        <v>20161213</v>
      </c>
      <c r="B701" s="4" t="str">
        <f>"20161213"</f>
        <v>20161213</v>
      </c>
      <c r="C701" s="4" t="str">
        <f>"基金赎回拨入"</f>
        <v>基金赎回拨入</v>
      </c>
      <c r="D701" s="4" t="str">
        <f t="shared" si="471"/>
        <v>AA0007</v>
      </c>
      <c r="E701" s="4" t="str">
        <f t="shared" si="472"/>
        <v>银河水星1号集合</v>
      </c>
      <c r="F701" s="4">
        <v>0</v>
      </c>
      <c r="G701" s="4">
        <v>24938</v>
      </c>
      <c r="H701" s="4">
        <v>0</v>
      </c>
      <c r="I701" s="12">
        <v>24938.73</v>
      </c>
      <c r="J701" s="4">
        <v>24938.73</v>
      </c>
      <c r="K701" s="4">
        <v>0</v>
      </c>
    </row>
    <row r="702" spans="1:11">
      <c r="A702" s="4" t="str">
        <f>"20161213"</f>
        <v>20161213</v>
      </c>
      <c r="B702" s="4" t="str">
        <f>"20161213"</f>
        <v>20161213</v>
      </c>
      <c r="C702" s="4" t="str">
        <f>"证券买入"</f>
        <v>证券买入</v>
      </c>
      <c r="D702" s="4" t="str">
        <f>"000601"</f>
        <v>000601</v>
      </c>
      <c r="E702" s="4" t="str">
        <f>"韶能股份"</f>
        <v>韶能股份</v>
      </c>
      <c r="F702" s="4">
        <v>8.31</v>
      </c>
      <c r="G702" s="4">
        <v>3000</v>
      </c>
      <c r="H702" s="4">
        <v>24930</v>
      </c>
      <c r="I702" s="12">
        <v>-24937.73</v>
      </c>
      <c r="J702" s="4">
        <v>1</v>
      </c>
      <c r="K702" s="4">
        <v>6400</v>
      </c>
    </row>
    <row r="703" spans="1:11">
      <c r="A703" s="4" t="str">
        <f>"20161215"</f>
        <v>20161215</v>
      </c>
      <c r="B703" s="4" t="str">
        <f>"20161215"</f>
        <v>20161215</v>
      </c>
      <c r="C703" s="4" t="str">
        <f>"基金赎回拨入"</f>
        <v>基金赎回拨入</v>
      </c>
      <c r="D703" s="4" t="str">
        <f t="shared" si="471"/>
        <v>AA0007</v>
      </c>
      <c r="E703" s="4" t="str">
        <f t="shared" si="472"/>
        <v>银河水星1号集合</v>
      </c>
      <c r="F703" s="4">
        <v>0</v>
      </c>
      <c r="G703" s="4">
        <v>59932</v>
      </c>
      <c r="H703" s="4">
        <v>0</v>
      </c>
      <c r="I703" s="12">
        <v>59932.8</v>
      </c>
      <c r="J703" s="4">
        <v>59933.8</v>
      </c>
      <c r="K703" s="4">
        <v>0</v>
      </c>
    </row>
    <row r="704" spans="1:11">
      <c r="A704" s="4" t="str">
        <f>"20161215"</f>
        <v>20161215</v>
      </c>
      <c r="B704" s="4" t="str">
        <f>"20161215"</f>
        <v>20161215</v>
      </c>
      <c r="C704" s="4" t="str">
        <f>"证券买入"</f>
        <v>证券买入</v>
      </c>
      <c r="D704" s="4" t="str">
        <f>"511990"</f>
        <v>511990</v>
      </c>
      <c r="E704" s="4" t="str">
        <f>"华宝添益"</f>
        <v>华宝添益</v>
      </c>
      <c r="F704" s="4">
        <v>99.888</v>
      </c>
      <c r="G704" s="4">
        <v>600</v>
      </c>
      <c r="H704" s="4">
        <v>59932.8</v>
      </c>
      <c r="I704" s="12">
        <v>-59932.8</v>
      </c>
      <c r="J704" s="4">
        <v>1</v>
      </c>
      <c r="K704" s="4">
        <v>600</v>
      </c>
    </row>
    <row r="705" spans="1:11">
      <c r="A705" s="4" t="str">
        <f>"20161216"</f>
        <v>20161216</v>
      </c>
      <c r="B705" s="4" t="str">
        <f t="shared" ref="B705:B708" si="473">"20161216"</f>
        <v>20161216</v>
      </c>
      <c r="C705" s="4" t="str">
        <f>"基金下折"</f>
        <v>基金下折</v>
      </c>
      <c r="D705" s="4" t="str">
        <f>"161024"</f>
        <v>161024</v>
      </c>
      <c r="E705" s="4" t="str">
        <f>"军工分级"</f>
        <v>军工分级</v>
      </c>
      <c r="F705" s="4">
        <v>0</v>
      </c>
      <c r="G705" s="4">
        <v>2082</v>
      </c>
      <c r="H705" s="4">
        <v>0</v>
      </c>
      <c r="I705" s="12">
        <v>0</v>
      </c>
      <c r="J705" s="4">
        <v>1</v>
      </c>
      <c r="K705" s="4">
        <v>0</v>
      </c>
    </row>
    <row r="706" spans="1:11">
      <c r="A706" s="4" t="str">
        <f>"20161216"</f>
        <v>20161216</v>
      </c>
      <c r="B706" s="4" t="str">
        <f t="shared" si="473"/>
        <v>20161216</v>
      </c>
      <c r="C706" s="4" t="str">
        <f>"基金上折"</f>
        <v>基金上折</v>
      </c>
      <c r="D706" s="4" t="str">
        <f>"161024"</f>
        <v>161024</v>
      </c>
      <c r="E706" s="4" t="str">
        <f>"军工分级"</f>
        <v>军工分级</v>
      </c>
      <c r="F706" s="4">
        <v>0</v>
      </c>
      <c r="G706" s="4">
        <v>2121</v>
      </c>
      <c r="H706" s="4">
        <v>0</v>
      </c>
      <c r="I706" s="12">
        <v>0</v>
      </c>
      <c r="J706" s="4">
        <v>1</v>
      </c>
      <c r="K706" s="4">
        <v>2121</v>
      </c>
    </row>
    <row r="707" spans="1:11">
      <c r="A707" s="4" t="str">
        <f>"20161219"</f>
        <v>20161219</v>
      </c>
      <c r="B707" s="4" t="str">
        <f t="shared" si="473"/>
        <v>20161216</v>
      </c>
      <c r="C707" s="4" t="str">
        <f>"ETF 基金赎回"</f>
        <v>ETF 基金赎回</v>
      </c>
      <c r="D707" s="4" t="str">
        <f>"511991"</f>
        <v>511991</v>
      </c>
      <c r="E707" s="4" t="str">
        <f>"添益申赎"</f>
        <v>添益申赎</v>
      </c>
      <c r="F707" s="4">
        <v>0</v>
      </c>
      <c r="G707" s="4">
        <v>600</v>
      </c>
      <c r="H707" s="4">
        <v>0</v>
      </c>
      <c r="I707" s="12">
        <v>0</v>
      </c>
      <c r="J707" s="4">
        <v>1</v>
      </c>
      <c r="K707" s="4">
        <v>0</v>
      </c>
    </row>
    <row r="708" spans="1:11">
      <c r="A708" s="4" t="str">
        <f>"20161219"</f>
        <v>20161219</v>
      </c>
      <c r="B708" s="4" t="str">
        <f t="shared" si="473"/>
        <v>20161216</v>
      </c>
      <c r="C708" s="4" t="str">
        <f>"ETF 申购退款"</f>
        <v>ETF 申购退款</v>
      </c>
      <c r="D708" s="4" t="str">
        <f>"511990"</f>
        <v>511990</v>
      </c>
      <c r="E708" s="4" t="str">
        <f>"华宝添益"</f>
        <v>华宝添益</v>
      </c>
      <c r="F708" s="4">
        <v>0</v>
      </c>
      <c r="G708" s="4">
        <v>0</v>
      </c>
      <c r="H708" s="4">
        <v>60015.14</v>
      </c>
      <c r="I708" s="12">
        <v>60015.14</v>
      </c>
      <c r="J708" s="4">
        <v>60016.14</v>
      </c>
      <c r="K708" s="4">
        <v>0</v>
      </c>
    </row>
    <row r="709" spans="1:11">
      <c r="A709" s="4" t="str">
        <f>"20161220"</f>
        <v>20161220</v>
      </c>
      <c r="B709" s="4" t="str">
        <f>"20161220"</f>
        <v>20161220</v>
      </c>
      <c r="C709" s="4" t="str">
        <f>"利息归本"</f>
        <v>利息归本</v>
      </c>
      <c r="D709" s="4"/>
      <c r="E709" s="4"/>
      <c r="F709" s="4">
        <v>0</v>
      </c>
      <c r="G709" s="4">
        <v>0</v>
      </c>
      <c r="H709" s="4">
        <v>0</v>
      </c>
      <c r="I709" s="12">
        <v>19.3</v>
      </c>
      <c r="J709" s="4">
        <v>60035.44</v>
      </c>
      <c r="K709" s="4">
        <v>0</v>
      </c>
    </row>
    <row r="710" spans="1:11">
      <c r="A710" s="4" t="str">
        <f>"20161220"</f>
        <v>20161220</v>
      </c>
      <c r="B710" s="4" t="str">
        <f>"20161220"</f>
        <v>20161220</v>
      </c>
      <c r="C710" s="4" t="str">
        <f>"基金申购拨出"</f>
        <v>基金申购拨出</v>
      </c>
      <c r="D710" s="4" t="str">
        <f t="shared" ref="D710:D712" si="474">"AA0007"</f>
        <v>AA0007</v>
      </c>
      <c r="E710" s="4" t="str">
        <f t="shared" ref="E710:E712" si="475">"银河水星1号集合"</f>
        <v>银河水星1号集合</v>
      </c>
      <c r="F710" s="4">
        <v>0</v>
      </c>
      <c r="G710" s="4">
        <v>0</v>
      </c>
      <c r="H710" s="4">
        <v>0</v>
      </c>
      <c r="I710" s="12">
        <v>-60016.14</v>
      </c>
      <c r="J710" s="4">
        <v>19.3</v>
      </c>
      <c r="K710" s="4">
        <v>0</v>
      </c>
    </row>
    <row r="711" spans="1:11">
      <c r="A711" s="4" t="str">
        <f>"20161222"</f>
        <v>20161222</v>
      </c>
      <c r="B711" s="4" t="str">
        <f>"0"</f>
        <v>0</v>
      </c>
      <c r="C711" s="4" t="str">
        <f>"基金红利拨入"</f>
        <v>基金红利拨入</v>
      </c>
      <c r="D711" s="4" t="str">
        <f t="shared" si="474"/>
        <v>AA0007</v>
      </c>
      <c r="E711" s="4" t="str">
        <f t="shared" si="475"/>
        <v>银河水星1号集合</v>
      </c>
      <c r="F711" s="4">
        <v>0</v>
      </c>
      <c r="G711" s="4">
        <v>0</v>
      </c>
      <c r="H711" s="4">
        <v>63.22</v>
      </c>
      <c r="I711" s="12">
        <v>63.22</v>
      </c>
      <c r="J711" s="4">
        <v>82.52</v>
      </c>
      <c r="K711" s="4">
        <v>0</v>
      </c>
    </row>
    <row r="712" spans="1:11">
      <c r="A712" s="4" t="str">
        <f>"20161226"</f>
        <v>20161226</v>
      </c>
      <c r="B712" s="4" t="str">
        <f>"20161226"</f>
        <v>20161226</v>
      </c>
      <c r="C712" s="4" t="str">
        <f t="shared" ref="C712:C717" si="476">"基金赎回拨入"</f>
        <v>基金赎回拨入</v>
      </c>
      <c r="D712" s="4" t="str">
        <f t="shared" si="474"/>
        <v>AA0007</v>
      </c>
      <c r="E712" s="4" t="str">
        <f t="shared" si="475"/>
        <v>银河水星1号集合</v>
      </c>
      <c r="F712" s="4">
        <v>0</v>
      </c>
      <c r="G712" s="4">
        <v>16423</v>
      </c>
      <c r="H712" s="4">
        <v>0</v>
      </c>
      <c r="I712" s="12">
        <v>16423.93</v>
      </c>
      <c r="J712" s="4">
        <v>16506.45</v>
      </c>
      <c r="K712" s="4">
        <v>0</v>
      </c>
    </row>
    <row r="713" spans="1:11">
      <c r="A713" s="4" t="str">
        <f>"20161226"</f>
        <v>20161226</v>
      </c>
      <c r="B713" s="4" t="str">
        <f>"20161226"</f>
        <v>20161226</v>
      </c>
      <c r="C713" s="4" t="str">
        <f>"证券买入"</f>
        <v>证券买入</v>
      </c>
      <c r="D713" s="4" t="str">
        <f>"600886"</f>
        <v>600886</v>
      </c>
      <c r="E713" s="4" t="str">
        <f>"国投电力"</f>
        <v>国投电力</v>
      </c>
      <c r="F713" s="4">
        <v>6.6</v>
      </c>
      <c r="G713" s="4">
        <v>2500</v>
      </c>
      <c r="H713" s="4">
        <v>16500</v>
      </c>
      <c r="I713" s="12">
        <v>-16505.45</v>
      </c>
      <c r="J713" s="4">
        <v>1</v>
      </c>
      <c r="K713" s="4">
        <v>5000</v>
      </c>
    </row>
    <row r="714" spans="1:11">
      <c r="A714" s="4" t="str">
        <f>"20161227"</f>
        <v>20161227</v>
      </c>
      <c r="B714" s="4" t="str">
        <f t="shared" ref="B714:B718" si="477">"20161227"</f>
        <v>20161227</v>
      </c>
      <c r="C714" s="4" t="str">
        <f t="shared" si="476"/>
        <v>基金赎回拨入</v>
      </c>
      <c r="D714" s="4" t="str">
        <f>"AA0007"</f>
        <v>AA0007</v>
      </c>
      <c r="E714" s="4" t="str">
        <f>"银河水星1号集合"</f>
        <v>银河水星1号集合</v>
      </c>
      <c r="F714" s="4">
        <v>0</v>
      </c>
      <c r="G714" s="4">
        <v>9997</v>
      </c>
      <c r="H714" s="4">
        <v>0</v>
      </c>
      <c r="I714" s="12">
        <v>9997.4</v>
      </c>
      <c r="J714" s="4">
        <v>9998.4</v>
      </c>
      <c r="K714" s="4">
        <v>0</v>
      </c>
    </row>
    <row r="715" spans="1:11">
      <c r="A715" s="4" t="str">
        <f>"20161227"</f>
        <v>20161227</v>
      </c>
      <c r="B715" s="4" t="str">
        <f t="shared" si="477"/>
        <v>20161227</v>
      </c>
      <c r="C715" s="4" t="str">
        <f>"证券买入"</f>
        <v>证券买入</v>
      </c>
      <c r="D715" s="4" t="str">
        <f>"511990"</f>
        <v>511990</v>
      </c>
      <c r="E715" s="4" t="str">
        <f>"华宝添益"</f>
        <v>华宝添益</v>
      </c>
      <c r="F715" s="4">
        <v>99.974</v>
      </c>
      <c r="G715" s="4">
        <v>100</v>
      </c>
      <c r="H715" s="4">
        <v>9997.4</v>
      </c>
      <c r="I715" s="12">
        <v>-9997.4</v>
      </c>
      <c r="J715" s="4">
        <v>1</v>
      </c>
      <c r="K715" s="4">
        <v>100</v>
      </c>
    </row>
    <row r="716" spans="1:11">
      <c r="A716" s="4" t="str">
        <f t="shared" ref="A716:A723" si="478">"20161228"</f>
        <v>20161228</v>
      </c>
      <c r="B716" s="4" t="str">
        <f t="shared" ref="B716:B722" si="479">"20161228"</f>
        <v>20161228</v>
      </c>
      <c r="C716" s="4" t="str">
        <f>"银行转证券"</f>
        <v>银行转证券</v>
      </c>
      <c r="D716" s="4"/>
      <c r="E716" s="4"/>
      <c r="F716" s="4">
        <v>0</v>
      </c>
      <c r="G716" s="4">
        <v>0</v>
      </c>
      <c r="H716" s="4">
        <v>0</v>
      </c>
      <c r="I716" s="12">
        <v>31000</v>
      </c>
      <c r="J716" s="4">
        <v>31001</v>
      </c>
      <c r="K716" s="4">
        <v>0</v>
      </c>
    </row>
    <row r="717" spans="1:11">
      <c r="A717" s="4" t="str">
        <f t="shared" si="478"/>
        <v>20161228</v>
      </c>
      <c r="B717" s="4" t="str">
        <f t="shared" si="479"/>
        <v>20161228</v>
      </c>
      <c r="C717" s="4" t="str">
        <f t="shared" si="476"/>
        <v>基金赎回拨入</v>
      </c>
      <c r="D717" s="4" t="str">
        <f>"AA0007"</f>
        <v>AA0007</v>
      </c>
      <c r="E717" s="4" t="str">
        <f>"银河水星1号集合"</f>
        <v>银河水星1号集合</v>
      </c>
      <c r="F717" s="4">
        <v>0</v>
      </c>
      <c r="G717" s="4">
        <v>28996</v>
      </c>
      <c r="H717" s="4">
        <v>0</v>
      </c>
      <c r="I717" s="12">
        <v>28996.7</v>
      </c>
      <c r="J717" s="4">
        <v>59997.7</v>
      </c>
      <c r="K717" s="4">
        <v>0</v>
      </c>
    </row>
    <row r="718" spans="1:11">
      <c r="A718" s="4" t="str">
        <f t="shared" si="478"/>
        <v>20161228</v>
      </c>
      <c r="B718" s="4" t="str">
        <f t="shared" si="477"/>
        <v>20161227</v>
      </c>
      <c r="C718" s="4" t="str">
        <f>"ETF 基金赎回"</f>
        <v>ETF 基金赎回</v>
      </c>
      <c r="D718" s="4" t="str">
        <f>"511991"</f>
        <v>511991</v>
      </c>
      <c r="E718" s="4" t="str">
        <f>"添益申赎"</f>
        <v>添益申赎</v>
      </c>
      <c r="F718" s="4">
        <v>0</v>
      </c>
      <c r="G718" s="4">
        <v>100</v>
      </c>
      <c r="H718" s="4">
        <v>0</v>
      </c>
      <c r="I718" s="12">
        <v>0</v>
      </c>
      <c r="J718" s="4">
        <v>59997.7</v>
      </c>
      <c r="K718" s="4">
        <v>0</v>
      </c>
    </row>
    <row r="719" spans="1:11">
      <c r="A719" s="4" t="str">
        <f t="shared" si="478"/>
        <v>20161228</v>
      </c>
      <c r="B719" s="4" t="str">
        <f t="shared" si="479"/>
        <v>20161228</v>
      </c>
      <c r="C719" s="4" t="str">
        <f>"证券买入"</f>
        <v>证券买入</v>
      </c>
      <c r="D719" s="4" t="str">
        <f>"511990"</f>
        <v>511990</v>
      </c>
      <c r="E719" s="4" t="str">
        <f>"华宝添益"</f>
        <v>华宝添益</v>
      </c>
      <c r="F719" s="4">
        <v>99.957</v>
      </c>
      <c r="G719" s="4">
        <v>100</v>
      </c>
      <c r="H719" s="4">
        <v>9995.7</v>
      </c>
      <c r="I719" s="12">
        <v>-9995.7</v>
      </c>
      <c r="J719" s="4">
        <v>50002</v>
      </c>
      <c r="K719" s="4">
        <v>100</v>
      </c>
    </row>
    <row r="720" spans="1:11">
      <c r="A720" s="4" t="str">
        <f t="shared" si="478"/>
        <v>20161228</v>
      </c>
      <c r="B720" s="4" t="str">
        <f t="shared" si="479"/>
        <v>20161228</v>
      </c>
      <c r="C720" s="4" t="str">
        <f t="shared" ref="C720:C722" si="480">"融券回购"</f>
        <v>融券回购</v>
      </c>
      <c r="D720" s="4" t="str">
        <f t="shared" ref="D720:D722" si="481">"131811"</f>
        <v>131811</v>
      </c>
      <c r="E720" s="4" t="str">
        <f t="shared" ref="E720:E722" si="482">"Ｒ-002"</f>
        <v>Ｒ-002</v>
      </c>
      <c r="F720" s="4">
        <v>13.265</v>
      </c>
      <c r="G720" s="4">
        <v>300</v>
      </c>
      <c r="H720" s="4">
        <v>30000</v>
      </c>
      <c r="I720" s="12">
        <v>-30000.6</v>
      </c>
      <c r="J720" s="4">
        <v>20001.4</v>
      </c>
      <c r="K720" s="4">
        <v>0</v>
      </c>
    </row>
    <row r="721" spans="1:11">
      <c r="A721" s="4" t="str">
        <f t="shared" si="478"/>
        <v>20161228</v>
      </c>
      <c r="B721" s="4" t="str">
        <f t="shared" si="479"/>
        <v>20161228</v>
      </c>
      <c r="C721" s="4" t="str">
        <f t="shared" si="480"/>
        <v>融券回购</v>
      </c>
      <c r="D721" s="4" t="str">
        <f t="shared" si="481"/>
        <v>131811</v>
      </c>
      <c r="E721" s="4" t="str">
        <f t="shared" si="482"/>
        <v>Ｒ-002</v>
      </c>
      <c r="F721" s="4">
        <v>13.625</v>
      </c>
      <c r="G721" s="4">
        <v>100</v>
      </c>
      <c r="H721" s="4">
        <v>10000</v>
      </c>
      <c r="I721" s="12">
        <v>-10000.2</v>
      </c>
      <c r="J721" s="4">
        <v>10001.2</v>
      </c>
      <c r="K721" s="4">
        <v>0</v>
      </c>
    </row>
    <row r="722" spans="1:11">
      <c r="A722" s="4" t="str">
        <f t="shared" si="478"/>
        <v>20161228</v>
      </c>
      <c r="B722" s="4" t="str">
        <f t="shared" si="479"/>
        <v>20161228</v>
      </c>
      <c r="C722" s="4" t="str">
        <f t="shared" si="480"/>
        <v>融券回购</v>
      </c>
      <c r="D722" s="4" t="str">
        <f t="shared" si="481"/>
        <v>131811</v>
      </c>
      <c r="E722" s="4" t="str">
        <f t="shared" si="482"/>
        <v>Ｒ-002</v>
      </c>
      <c r="F722" s="4">
        <v>15</v>
      </c>
      <c r="G722" s="4">
        <v>100</v>
      </c>
      <c r="H722" s="4">
        <v>10000</v>
      </c>
      <c r="I722" s="12">
        <v>-10000.2</v>
      </c>
      <c r="J722" s="4">
        <v>1</v>
      </c>
      <c r="K722" s="4">
        <v>0</v>
      </c>
    </row>
    <row r="723" spans="1:11">
      <c r="A723" s="4" t="str">
        <f t="shared" si="478"/>
        <v>20161228</v>
      </c>
      <c r="B723" s="4" t="str">
        <f>"20161227"</f>
        <v>20161227</v>
      </c>
      <c r="C723" s="4" t="str">
        <f>"ETF 申购退款"</f>
        <v>ETF 申购退款</v>
      </c>
      <c r="D723" s="4" t="str">
        <f>"511990"</f>
        <v>511990</v>
      </c>
      <c r="E723" s="4" t="str">
        <f>"华宝添益"</f>
        <v>华宝添益</v>
      </c>
      <c r="F723" s="4">
        <v>0</v>
      </c>
      <c r="G723" s="4">
        <v>0</v>
      </c>
      <c r="H723" s="4">
        <v>10000.88</v>
      </c>
      <c r="I723" s="12">
        <v>10000.88</v>
      </c>
      <c r="J723" s="4">
        <v>10001.88</v>
      </c>
      <c r="K723" s="4">
        <v>0</v>
      </c>
    </row>
    <row r="724" spans="1:11">
      <c r="A724" s="4" t="str">
        <f t="shared" ref="A724:A726" si="483">"20161229"</f>
        <v>20161229</v>
      </c>
      <c r="B724" s="4" t="str">
        <f>"20161229"</f>
        <v>20161229</v>
      </c>
      <c r="C724" s="4" t="str">
        <f>"证券转银行"</f>
        <v>证券转银行</v>
      </c>
      <c r="D724" s="4"/>
      <c r="E724" s="4"/>
      <c r="F724" s="4">
        <v>0</v>
      </c>
      <c r="G724" s="4">
        <v>0</v>
      </c>
      <c r="H724" s="4">
        <v>0</v>
      </c>
      <c r="I724" s="12">
        <v>-10000</v>
      </c>
      <c r="J724" s="4">
        <v>1.88</v>
      </c>
      <c r="K724" s="4">
        <v>0</v>
      </c>
    </row>
    <row r="725" spans="1:11">
      <c r="A725" s="4" t="str">
        <f t="shared" si="483"/>
        <v>20161229</v>
      </c>
      <c r="B725" s="4" t="str">
        <f t="shared" ref="B725:B730" si="484">"20161228"</f>
        <v>20161228</v>
      </c>
      <c r="C725" s="4" t="str">
        <f>"ETF 基金赎回"</f>
        <v>ETF 基金赎回</v>
      </c>
      <c r="D725" s="4" t="str">
        <f>"511991"</f>
        <v>511991</v>
      </c>
      <c r="E725" s="4" t="str">
        <f>"添益申赎"</f>
        <v>添益申赎</v>
      </c>
      <c r="F725" s="4">
        <v>0</v>
      </c>
      <c r="G725" s="4">
        <v>100</v>
      </c>
      <c r="H725" s="4">
        <v>0</v>
      </c>
      <c r="I725" s="12">
        <v>0</v>
      </c>
      <c r="J725" s="4">
        <v>1.88</v>
      </c>
      <c r="K725" s="4">
        <v>0</v>
      </c>
    </row>
    <row r="726" spans="1:11">
      <c r="A726" s="4" t="str">
        <f t="shared" si="483"/>
        <v>20161229</v>
      </c>
      <c r="B726" s="4" t="str">
        <f t="shared" si="484"/>
        <v>20161228</v>
      </c>
      <c r="C726" s="4" t="str">
        <f>"ETF 申购退款"</f>
        <v>ETF 申购退款</v>
      </c>
      <c r="D726" s="4" t="str">
        <f>"511990"</f>
        <v>511990</v>
      </c>
      <c r="E726" s="4" t="str">
        <f>"华宝添益"</f>
        <v>华宝添益</v>
      </c>
      <c r="F726" s="4">
        <v>0</v>
      </c>
      <c r="G726" s="4">
        <v>0</v>
      </c>
      <c r="H726" s="4">
        <v>10000.88</v>
      </c>
      <c r="I726" s="12">
        <v>10000.88</v>
      </c>
      <c r="J726" s="4">
        <v>10002.76</v>
      </c>
      <c r="K726" s="4">
        <v>0</v>
      </c>
    </row>
    <row r="727" spans="1:11">
      <c r="A727" s="4" t="str">
        <f t="shared" ref="A727:A730" si="485">"20161230"</f>
        <v>20161230</v>
      </c>
      <c r="B727" s="4" t="str">
        <f>"20161230"</f>
        <v>20161230</v>
      </c>
      <c r="C727" s="4" t="str">
        <f>"基金申购拨出"</f>
        <v>基金申购拨出</v>
      </c>
      <c r="D727" s="4" t="str">
        <f>"AA0007"</f>
        <v>AA0007</v>
      </c>
      <c r="E727" s="4" t="str">
        <f>"银河水星1号集合"</f>
        <v>银河水星1号集合</v>
      </c>
      <c r="F727" s="4">
        <v>0</v>
      </c>
      <c r="G727" s="4">
        <v>0</v>
      </c>
      <c r="H727" s="4">
        <v>0</v>
      </c>
      <c r="I727" s="12">
        <v>-60040.26</v>
      </c>
      <c r="J727" s="4">
        <v>-50037.5</v>
      </c>
      <c r="K727" s="4">
        <v>0</v>
      </c>
    </row>
    <row r="728" spans="1:11">
      <c r="A728" s="4" t="str">
        <f t="shared" si="485"/>
        <v>20161230</v>
      </c>
      <c r="B728" s="4" t="str">
        <f t="shared" si="484"/>
        <v>20161228</v>
      </c>
      <c r="C728" s="4" t="str">
        <f t="shared" ref="C728:C730" si="486">"融券购回"</f>
        <v>融券购回</v>
      </c>
      <c r="D728" s="4" t="str">
        <f t="shared" ref="D728:D730" si="487">"131811"</f>
        <v>131811</v>
      </c>
      <c r="E728" s="4" t="str">
        <f t="shared" ref="E728:E730" si="488">"Ｒ-002"</f>
        <v>Ｒ-002</v>
      </c>
      <c r="F728" s="4">
        <v>13.265</v>
      </c>
      <c r="G728" s="4">
        <v>300</v>
      </c>
      <c r="H728" s="4">
        <v>30021.81</v>
      </c>
      <c r="I728" s="12">
        <v>30021.81</v>
      </c>
      <c r="J728" s="4">
        <v>-20015.69</v>
      </c>
      <c r="K728" s="4">
        <v>0</v>
      </c>
    </row>
    <row r="729" spans="1:11">
      <c r="A729" s="4" t="str">
        <f t="shared" si="485"/>
        <v>20161230</v>
      </c>
      <c r="B729" s="4" t="str">
        <f t="shared" si="484"/>
        <v>20161228</v>
      </c>
      <c r="C729" s="4" t="str">
        <f t="shared" si="486"/>
        <v>融券购回</v>
      </c>
      <c r="D729" s="4" t="str">
        <f t="shared" si="487"/>
        <v>131811</v>
      </c>
      <c r="E729" s="4" t="str">
        <f t="shared" si="488"/>
        <v>Ｒ-002</v>
      </c>
      <c r="F729" s="4">
        <v>13.625</v>
      </c>
      <c r="G729" s="4">
        <v>100</v>
      </c>
      <c r="H729" s="4">
        <v>10007.47</v>
      </c>
      <c r="I729" s="12">
        <v>10007.47</v>
      </c>
      <c r="J729" s="4">
        <v>-10008.22</v>
      </c>
      <c r="K729" s="4">
        <v>0</v>
      </c>
    </row>
    <row r="730" spans="1:11">
      <c r="A730" s="4" t="str">
        <f t="shared" si="485"/>
        <v>20161230</v>
      </c>
      <c r="B730" s="4" t="str">
        <f t="shared" si="484"/>
        <v>20161228</v>
      </c>
      <c r="C730" s="4" t="str">
        <f t="shared" si="486"/>
        <v>融券购回</v>
      </c>
      <c r="D730" s="4" t="str">
        <f t="shared" si="487"/>
        <v>131811</v>
      </c>
      <c r="E730" s="4" t="str">
        <f t="shared" si="488"/>
        <v>Ｒ-002</v>
      </c>
      <c r="F730" s="4">
        <v>15</v>
      </c>
      <c r="G730" s="4">
        <v>100</v>
      </c>
      <c r="H730" s="4">
        <v>10008.22</v>
      </c>
      <c r="I730" s="12">
        <v>10008.22</v>
      </c>
      <c r="J730" s="4">
        <v>0</v>
      </c>
      <c r="K730" s="4">
        <v>0</v>
      </c>
    </row>
    <row r="731" spans="1:11">
      <c r="A731" s="4" t="str">
        <f>"20170104"</f>
        <v>20170104</v>
      </c>
      <c r="B731" s="4" t="str">
        <f>"20170104"</f>
        <v>20170104</v>
      </c>
      <c r="C731" s="4" t="str">
        <f>"基金赎回拨入"</f>
        <v>基金赎回拨入</v>
      </c>
      <c r="D731" s="4" t="str">
        <f t="shared" ref="D731:D735" si="489">"AA0007"</f>
        <v>AA0007</v>
      </c>
      <c r="E731" s="4" t="str">
        <f t="shared" ref="E731:E735" si="490">"银河水星1号集合"</f>
        <v>银河水星1号集合</v>
      </c>
      <c r="F731" s="4">
        <v>0</v>
      </c>
      <c r="G731" s="4">
        <v>10726</v>
      </c>
      <c r="H731" s="4">
        <v>0</v>
      </c>
      <c r="I731" s="12">
        <v>10726</v>
      </c>
      <c r="J731" s="4">
        <v>10726</v>
      </c>
      <c r="K731" s="4">
        <v>0</v>
      </c>
    </row>
    <row r="732" spans="1:11">
      <c r="A732" s="4" t="str">
        <f>"20170104"</f>
        <v>20170104</v>
      </c>
      <c r="B732" s="4" t="str">
        <f>"20170104"</f>
        <v>20170104</v>
      </c>
      <c r="C732" s="4" t="str">
        <f>"证券买入"</f>
        <v>证券买入</v>
      </c>
      <c r="D732" s="4" t="str">
        <f>"150197"</f>
        <v>150197</v>
      </c>
      <c r="E732" s="4" t="str">
        <f>"有色B"</f>
        <v>有色B</v>
      </c>
      <c r="F732" s="4">
        <v>1.072</v>
      </c>
      <c r="G732" s="4">
        <v>10000</v>
      </c>
      <c r="H732" s="4">
        <v>10720</v>
      </c>
      <c r="I732" s="12">
        <v>-10725</v>
      </c>
      <c r="J732" s="4">
        <v>1</v>
      </c>
      <c r="K732" s="4">
        <v>10000</v>
      </c>
    </row>
    <row r="733" spans="1:11">
      <c r="A733" s="4" t="str">
        <f>"20170105"</f>
        <v>20170105</v>
      </c>
      <c r="B733" s="4" t="str">
        <f>"20170105"</f>
        <v>20170105</v>
      </c>
      <c r="C733" s="4" t="str">
        <f>"基金申购拨出"</f>
        <v>基金申购拨出</v>
      </c>
      <c r="D733" s="4" t="str">
        <f t="shared" si="489"/>
        <v>AA0007</v>
      </c>
      <c r="E733" s="4" t="str">
        <f t="shared" si="490"/>
        <v>银河水星1号集合</v>
      </c>
      <c r="F733" s="4">
        <v>0</v>
      </c>
      <c r="G733" s="4">
        <v>0</v>
      </c>
      <c r="H733" s="4">
        <v>0</v>
      </c>
      <c r="I733" s="12">
        <v>-11115</v>
      </c>
      <c r="J733" s="4">
        <v>-11114</v>
      </c>
      <c r="K733" s="4">
        <v>0</v>
      </c>
    </row>
    <row r="734" spans="1:11">
      <c r="A734" s="4" t="str">
        <f>"20170105"</f>
        <v>20170105</v>
      </c>
      <c r="B734" s="4" t="str">
        <f>"20170105"</f>
        <v>20170105</v>
      </c>
      <c r="C734" s="4" t="str">
        <f>"证券卖出"</f>
        <v>证券卖出</v>
      </c>
      <c r="D734" s="4" t="str">
        <f>"150197"</f>
        <v>150197</v>
      </c>
      <c r="E734" s="4" t="str">
        <f>"有色B"</f>
        <v>有色B</v>
      </c>
      <c r="F734" s="4">
        <v>1.112</v>
      </c>
      <c r="G734" s="4">
        <v>10000</v>
      </c>
      <c r="H734" s="4">
        <v>11120</v>
      </c>
      <c r="I734" s="12">
        <v>11115</v>
      </c>
      <c r="J734" s="4">
        <v>1</v>
      </c>
      <c r="K734" s="4">
        <v>0</v>
      </c>
    </row>
    <row r="735" spans="1:11">
      <c r="A735" s="4" t="str">
        <f>"20170106"</f>
        <v>20170106</v>
      </c>
      <c r="B735" s="4" t="str">
        <f>"20170106"</f>
        <v>20170106</v>
      </c>
      <c r="C735" s="4" t="str">
        <f>"基金申购拨出"</f>
        <v>基金申购拨出</v>
      </c>
      <c r="D735" s="4" t="str">
        <f t="shared" si="489"/>
        <v>AA0007</v>
      </c>
      <c r="E735" s="4" t="str">
        <f t="shared" si="490"/>
        <v>银河水星1号集合</v>
      </c>
      <c r="F735" s="4">
        <v>0</v>
      </c>
      <c r="G735" s="4">
        <v>0</v>
      </c>
      <c r="H735" s="4">
        <v>0</v>
      </c>
      <c r="I735" s="12">
        <v>-16902.48</v>
      </c>
      <c r="J735" s="4">
        <v>-16901.48</v>
      </c>
      <c r="K735" s="4">
        <v>0</v>
      </c>
    </row>
    <row r="736" spans="1:11">
      <c r="A736" s="4" t="str">
        <f>"20170106"</f>
        <v>20170106</v>
      </c>
      <c r="B736" s="4" t="str">
        <f>"20170106"</f>
        <v>20170106</v>
      </c>
      <c r="C736" s="4" t="str">
        <f>"证券卖出"</f>
        <v>证券卖出</v>
      </c>
      <c r="D736" s="4" t="str">
        <f>"600886"</f>
        <v>600886</v>
      </c>
      <c r="E736" s="4" t="str">
        <f>"国投电力"</f>
        <v>国投电力</v>
      </c>
      <c r="F736" s="4">
        <v>6.77</v>
      </c>
      <c r="G736" s="4">
        <v>2500</v>
      </c>
      <c r="H736" s="4">
        <v>16925</v>
      </c>
      <c r="I736" s="12">
        <v>16902.48</v>
      </c>
      <c r="J736" s="4">
        <v>1</v>
      </c>
      <c r="K736" s="4">
        <v>2500</v>
      </c>
    </row>
    <row r="737" spans="1:11">
      <c r="A737" s="4" t="str">
        <f>"20170109"</f>
        <v>20170109</v>
      </c>
      <c r="B737" s="4" t="str">
        <f>"20170109"</f>
        <v>20170109</v>
      </c>
      <c r="C737" s="4" t="str">
        <f>"基金赎回拨入"</f>
        <v>基金赎回拨入</v>
      </c>
      <c r="D737" s="4" t="str">
        <f t="shared" ref="D737:D741" si="491">"AA0007"</f>
        <v>AA0007</v>
      </c>
      <c r="E737" s="4" t="str">
        <f t="shared" ref="E737:E741" si="492">"银河水星1号集合"</f>
        <v>银河水星1号集合</v>
      </c>
      <c r="F737" s="4">
        <v>0</v>
      </c>
      <c r="G737" s="4">
        <v>17585</v>
      </c>
      <c r="H737" s="4">
        <v>0</v>
      </c>
      <c r="I737" s="12">
        <v>17585.8</v>
      </c>
      <c r="J737" s="4">
        <v>17586.8</v>
      </c>
      <c r="K737" s="4">
        <v>0</v>
      </c>
    </row>
    <row r="738" spans="1:11">
      <c r="A738" s="4" t="str">
        <f>"20170109"</f>
        <v>20170109</v>
      </c>
      <c r="B738" s="4" t="str">
        <f>"20170109"</f>
        <v>20170109</v>
      </c>
      <c r="C738" s="4" t="str">
        <f>"证券买入"</f>
        <v>证券买入</v>
      </c>
      <c r="D738" s="4" t="str">
        <f>"600297"</f>
        <v>600297</v>
      </c>
      <c r="E738" s="4" t="str">
        <f>"广汇汽车"</f>
        <v>广汇汽车</v>
      </c>
      <c r="F738" s="4">
        <v>8.79</v>
      </c>
      <c r="G738" s="4">
        <v>2000</v>
      </c>
      <c r="H738" s="4">
        <v>17580</v>
      </c>
      <c r="I738" s="12">
        <v>-17585.8</v>
      </c>
      <c r="J738" s="4">
        <v>1</v>
      </c>
      <c r="K738" s="4">
        <v>2000</v>
      </c>
    </row>
    <row r="739" spans="1:11">
      <c r="A739" s="4" t="str">
        <f>"20170111"</f>
        <v>20170111</v>
      </c>
      <c r="B739" s="4" t="str">
        <f>"20170111"</f>
        <v>20170111</v>
      </c>
      <c r="C739" s="4" t="str">
        <f>"基金申购拨出"</f>
        <v>基金申购拨出</v>
      </c>
      <c r="D739" s="4" t="str">
        <f t="shared" si="491"/>
        <v>AA0007</v>
      </c>
      <c r="E739" s="4" t="str">
        <f t="shared" si="492"/>
        <v>银河水星1号集合</v>
      </c>
      <c r="F739" s="4">
        <v>0</v>
      </c>
      <c r="G739" s="4">
        <v>0</v>
      </c>
      <c r="H739" s="4">
        <v>0</v>
      </c>
      <c r="I739" s="12">
        <v>-15030.9</v>
      </c>
      <c r="J739" s="4">
        <v>-15029.9</v>
      </c>
      <c r="K739" s="4">
        <v>0</v>
      </c>
    </row>
    <row r="740" spans="1:11">
      <c r="A740" s="4" t="str">
        <f>"20170111"</f>
        <v>20170111</v>
      </c>
      <c r="B740" s="4" t="str">
        <f>"20170111"</f>
        <v>20170111</v>
      </c>
      <c r="C740" s="4" t="str">
        <f t="shared" ref="C740:C745" si="493">"证券卖出"</f>
        <v>证券卖出</v>
      </c>
      <c r="D740" s="4" t="str">
        <f>"000601"</f>
        <v>000601</v>
      </c>
      <c r="E740" s="4" t="str">
        <f>"韶能股份"</f>
        <v>韶能股份</v>
      </c>
      <c r="F740" s="4">
        <v>8.63</v>
      </c>
      <c r="G740" s="4">
        <v>3000</v>
      </c>
      <c r="H740" s="4">
        <v>25890</v>
      </c>
      <c r="I740" s="12">
        <v>25856.08</v>
      </c>
      <c r="J740" s="4">
        <v>10826.18</v>
      </c>
      <c r="K740" s="4">
        <v>3400</v>
      </c>
    </row>
    <row r="741" spans="1:11">
      <c r="A741" s="4" t="str">
        <f>"20170116"</f>
        <v>20170116</v>
      </c>
      <c r="B741" s="4" t="str">
        <f>"20170116"</f>
        <v>20170116</v>
      </c>
      <c r="C741" s="4" t="str">
        <f>"基金赎回拨入"</f>
        <v>基金赎回拨入</v>
      </c>
      <c r="D741" s="4" t="str">
        <f t="shared" si="491"/>
        <v>AA0007</v>
      </c>
      <c r="E741" s="4" t="str">
        <f t="shared" si="492"/>
        <v>银河水星1号集合</v>
      </c>
      <c r="F741" s="4">
        <v>0</v>
      </c>
      <c r="G741" s="4">
        <v>24393</v>
      </c>
      <c r="H741" s="4">
        <v>0</v>
      </c>
      <c r="I741" s="12">
        <v>24393.79</v>
      </c>
      <c r="J741" s="4">
        <v>24733.66</v>
      </c>
      <c r="K741" s="4">
        <v>0</v>
      </c>
    </row>
    <row r="742" spans="1:11">
      <c r="A742" s="4" t="str">
        <f>"20170116"</f>
        <v>20170116</v>
      </c>
      <c r="B742" s="4" t="str">
        <f>"20170116"</f>
        <v>20170116</v>
      </c>
      <c r="C742" s="4" t="str">
        <f>"证券买入"</f>
        <v>证券买入</v>
      </c>
      <c r="D742" s="4" t="str">
        <f>"000601"</f>
        <v>000601</v>
      </c>
      <c r="E742" s="4" t="str">
        <f>"韶能股份"</f>
        <v>韶能股份</v>
      </c>
      <c r="F742" s="4">
        <v>8.24</v>
      </c>
      <c r="G742" s="4">
        <v>3000</v>
      </c>
      <c r="H742" s="4">
        <v>24720</v>
      </c>
      <c r="I742" s="12">
        <v>-24727.66</v>
      </c>
      <c r="J742" s="4">
        <v>6</v>
      </c>
      <c r="K742" s="4">
        <v>6400</v>
      </c>
    </row>
    <row r="743" spans="1:11">
      <c r="A743" s="4" t="str">
        <f t="shared" ref="A743:A747" si="494">"20170119"</f>
        <v>20170119</v>
      </c>
      <c r="B743" s="4" t="str">
        <f t="shared" ref="B743:B747" si="495">"20170119"</f>
        <v>20170119</v>
      </c>
      <c r="C743" s="4" t="str">
        <f>"基金赎回拨入"</f>
        <v>基金赎回拨入</v>
      </c>
      <c r="D743" s="4" t="str">
        <f>"AA0007"</f>
        <v>AA0007</v>
      </c>
      <c r="E743" s="4" t="str">
        <f>"银河水星1号集合"</f>
        <v>银河水星1号集合</v>
      </c>
      <c r="F743" s="4">
        <v>0</v>
      </c>
      <c r="G743" s="4">
        <v>60896</v>
      </c>
      <c r="H743" s="4">
        <v>0</v>
      </c>
      <c r="I743" s="12">
        <v>60896.75</v>
      </c>
      <c r="J743" s="4">
        <v>60902.7</v>
      </c>
      <c r="K743" s="4">
        <v>0</v>
      </c>
    </row>
    <row r="744" spans="1:11">
      <c r="A744" s="4" t="str">
        <f t="shared" si="494"/>
        <v>20170119</v>
      </c>
      <c r="B744" s="4" t="str">
        <f t="shared" si="495"/>
        <v>20170119</v>
      </c>
      <c r="C744" s="4" t="str">
        <f t="shared" si="493"/>
        <v>证券卖出</v>
      </c>
      <c r="D744" s="4" t="str">
        <f>"600297"</f>
        <v>600297</v>
      </c>
      <c r="E744" s="4" t="str">
        <f>"广汇汽车"</f>
        <v>广汇汽车</v>
      </c>
      <c r="F744" s="4">
        <v>9.42</v>
      </c>
      <c r="G744" s="4">
        <v>2000</v>
      </c>
      <c r="H744" s="4">
        <v>18840</v>
      </c>
      <c r="I744" s="12">
        <v>18814.94</v>
      </c>
      <c r="J744" s="4">
        <v>79717.64</v>
      </c>
      <c r="K744" s="4">
        <v>0</v>
      </c>
    </row>
    <row r="745" spans="1:11">
      <c r="A745" s="4" t="str">
        <f t="shared" si="494"/>
        <v>20170119</v>
      </c>
      <c r="B745" s="4" t="str">
        <f t="shared" si="495"/>
        <v>20170119</v>
      </c>
      <c r="C745" s="4" t="str">
        <f t="shared" si="493"/>
        <v>证券卖出</v>
      </c>
      <c r="D745" s="4" t="str">
        <f>"600886"</f>
        <v>600886</v>
      </c>
      <c r="E745" s="4" t="str">
        <f>"国投电力"</f>
        <v>国投电力</v>
      </c>
      <c r="F745" s="4">
        <v>6.84</v>
      </c>
      <c r="G745" s="4">
        <v>2500</v>
      </c>
      <c r="H745" s="4">
        <v>17100</v>
      </c>
      <c r="I745" s="12">
        <v>17077.26</v>
      </c>
      <c r="J745" s="4">
        <v>96794.9</v>
      </c>
      <c r="K745" s="4">
        <v>0</v>
      </c>
    </row>
    <row r="746" spans="1:11">
      <c r="A746" s="4" t="str">
        <f t="shared" si="494"/>
        <v>20170119</v>
      </c>
      <c r="B746" s="4" t="str">
        <f t="shared" si="495"/>
        <v>20170119</v>
      </c>
      <c r="C746" s="4" t="str">
        <f>"证券买入"</f>
        <v>证券买入</v>
      </c>
      <c r="D746" s="4" t="str">
        <f>"150197"</f>
        <v>150197</v>
      </c>
      <c r="E746" s="4" t="str">
        <f>"有色B"</f>
        <v>有色B</v>
      </c>
      <c r="F746" s="4">
        <v>1.014</v>
      </c>
      <c r="G746" s="4">
        <v>10000</v>
      </c>
      <c r="H746" s="4">
        <v>10140</v>
      </c>
      <c r="I746" s="12">
        <v>-10145</v>
      </c>
      <c r="J746" s="4">
        <v>86649.9</v>
      </c>
      <c r="K746" s="4">
        <v>10000</v>
      </c>
    </row>
    <row r="747" spans="1:11">
      <c r="A747" s="4" t="str">
        <f t="shared" si="494"/>
        <v>20170119</v>
      </c>
      <c r="B747" s="4" t="str">
        <f t="shared" si="495"/>
        <v>20170119</v>
      </c>
      <c r="C747" s="4" t="str">
        <f>"融券回购"</f>
        <v>融券回购</v>
      </c>
      <c r="D747" s="4" t="str">
        <f>"131810"</f>
        <v>131810</v>
      </c>
      <c r="E747" s="4" t="str">
        <f>"Ｒ-001"</f>
        <v>Ｒ-001</v>
      </c>
      <c r="F747" s="4">
        <v>14.88</v>
      </c>
      <c r="G747" s="4">
        <v>860</v>
      </c>
      <c r="H747" s="4">
        <v>86000</v>
      </c>
      <c r="I747" s="12">
        <v>-86000.86</v>
      </c>
      <c r="J747" s="4">
        <v>649.04</v>
      </c>
      <c r="K747" s="4">
        <v>0</v>
      </c>
    </row>
    <row r="748" spans="1:11">
      <c r="A748" s="4" t="str">
        <f>"20170120"</f>
        <v>20170120</v>
      </c>
      <c r="B748" s="4" t="str">
        <f>"20170120"</f>
        <v>20170120</v>
      </c>
      <c r="C748" s="4" t="str">
        <f>"基金申购拨出"</f>
        <v>基金申购拨出</v>
      </c>
      <c r="D748" s="4" t="str">
        <f t="shared" ref="D748:D752" si="496">"AA0007"</f>
        <v>AA0007</v>
      </c>
      <c r="E748" s="4" t="str">
        <f t="shared" ref="E748:E752" si="497">"银河水星1号集合"</f>
        <v>银河水星1号集合</v>
      </c>
      <c r="F748" s="4">
        <v>0</v>
      </c>
      <c r="G748" s="4">
        <v>0</v>
      </c>
      <c r="H748" s="4">
        <v>0</v>
      </c>
      <c r="I748" s="12">
        <v>-86679.09</v>
      </c>
      <c r="J748" s="4">
        <v>-86030.06</v>
      </c>
      <c r="K748" s="4">
        <v>0</v>
      </c>
    </row>
    <row r="749" spans="1:11">
      <c r="A749" s="4" t="str">
        <f>"20170120"</f>
        <v>20170120</v>
      </c>
      <c r="B749" s="4" t="str">
        <f>"20170119"</f>
        <v>20170119</v>
      </c>
      <c r="C749" s="4" t="str">
        <f>"融券购回"</f>
        <v>融券购回</v>
      </c>
      <c r="D749" s="4" t="str">
        <f>"131810"</f>
        <v>131810</v>
      </c>
      <c r="E749" s="4" t="str">
        <f>"Ｒ-001"</f>
        <v>Ｒ-001</v>
      </c>
      <c r="F749" s="4">
        <v>14.88</v>
      </c>
      <c r="G749" s="4">
        <v>860</v>
      </c>
      <c r="H749" s="4">
        <v>86035.06</v>
      </c>
      <c r="I749" s="12">
        <v>86035.06</v>
      </c>
      <c r="J749" s="4">
        <v>5</v>
      </c>
      <c r="K749" s="4">
        <v>0</v>
      </c>
    </row>
    <row r="750" spans="1:11">
      <c r="A750" s="4" t="str">
        <f>"20170123"</f>
        <v>20170123</v>
      </c>
      <c r="B750" s="4" t="str">
        <f>"20170123"</f>
        <v>20170123</v>
      </c>
      <c r="C750" s="4" t="str">
        <f t="shared" ref="C750:C752" si="498">"基金赎回拨入"</f>
        <v>基金赎回拨入</v>
      </c>
      <c r="D750" s="4" t="str">
        <f t="shared" si="496"/>
        <v>AA0007</v>
      </c>
      <c r="E750" s="4" t="str">
        <f t="shared" si="497"/>
        <v>银河水星1号集合</v>
      </c>
      <c r="F750" s="4">
        <v>0</v>
      </c>
      <c r="G750" s="4">
        <v>0</v>
      </c>
      <c r="H750" s="4">
        <v>0</v>
      </c>
      <c r="I750" s="12">
        <v>0.01</v>
      </c>
      <c r="J750" s="4">
        <v>5</v>
      </c>
      <c r="K750" s="4">
        <v>0</v>
      </c>
    </row>
    <row r="751" spans="1:11">
      <c r="A751" s="4" t="str">
        <f>"20170124"</f>
        <v>20170124</v>
      </c>
      <c r="B751" s="4" t="str">
        <f>"20170124"</f>
        <v>20170124</v>
      </c>
      <c r="C751" s="4" t="str">
        <f t="shared" si="498"/>
        <v>基金赎回拨入</v>
      </c>
      <c r="D751" s="4" t="str">
        <f t="shared" si="496"/>
        <v>AA0007</v>
      </c>
      <c r="E751" s="4" t="str">
        <f t="shared" si="497"/>
        <v>银河水星1号集合</v>
      </c>
      <c r="F751" s="4">
        <v>0</v>
      </c>
      <c r="G751" s="4">
        <v>0</v>
      </c>
      <c r="H751" s="4">
        <v>0</v>
      </c>
      <c r="I751" s="12">
        <v>0.03</v>
      </c>
      <c r="J751" s="4">
        <v>5</v>
      </c>
      <c r="K751" s="4">
        <v>0</v>
      </c>
    </row>
    <row r="752" spans="1:11">
      <c r="A752" s="4" t="str">
        <f t="shared" ref="A752:A754" si="499">"20170125"</f>
        <v>20170125</v>
      </c>
      <c r="B752" s="4" t="str">
        <f t="shared" ref="B752:B754" si="500">"20170125"</f>
        <v>20170125</v>
      </c>
      <c r="C752" s="4" t="str">
        <f t="shared" si="498"/>
        <v>基金赎回拨入</v>
      </c>
      <c r="D752" s="4" t="str">
        <f t="shared" si="496"/>
        <v>AA0007</v>
      </c>
      <c r="E752" s="4" t="str">
        <f t="shared" si="497"/>
        <v>银河水星1号集合</v>
      </c>
      <c r="F752" s="4">
        <v>0</v>
      </c>
      <c r="G752" s="4">
        <v>86679</v>
      </c>
      <c r="H752" s="4">
        <v>0</v>
      </c>
      <c r="I752" s="12">
        <v>86679.05</v>
      </c>
      <c r="J752" s="4">
        <v>86684.04</v>
      </c>
      <c r="K752" s="4">
        <v>0</v>
      </c>
    </row>
    <row r="753" spans="1:11">
      <c r="A753" s="4" t="str">
        <f t="shared" si="499"/>
        <v>20170125</v>
      </c>
      <c r="B753" s="4" t="str">
        <f t="shared" si="500"/>
        <v>20170125</v>
      </c>
      <c r="C753" s="4" t="str">
        <f>"证券卖出"</f>
        <v>证券卖出</v>
      </c>
      <c r="D753" s="4" t="str">
        <f>"150197"</f>
        <v>150197</v>
      </c>
      <c r="E753" s="4" t="str">
        <f>"有色B"</f>
        <v>有色B</v>
      </c>
      <c r="F753" s="4">
        <v>1.101</v>
      </c>
      <c r="G753" s="4">
        <v>10000</v>
      </c>
      <c r="H753" s="4">
        <v>11010</v>
      </c>
      <c r="I753" s="12">
        <v>11005</v>
      </c>
      <c r="J753" s="4">
        <v>97689.04</v>
      </c>
      <c r="K753" s="4">
        <v>0</v>
      </c>
    </row>
    <row r="754" spans="1:11">
      <c r="A754" s="4" t="str">
        <f t="shared" si="499"/>
        <v>20170125</v>
      </c>
      <c r="B754" s="4" t="str">
        <f t="shared" si="500"/>
        <v>20170125</v>
      </c>
      <c r="C754" s="4" t="str">
        <f>"融券回购"</f>
        <v>融券回购</v>
      </c>
      <c r="D754" s="4" t="str">
        <f>"131810"</f>
        <v>131810</v>
      </c>
      <c r="E754" s="4" t="str">
        <f>"Ｒ-001"</f>
        <v>Ｒ-001</v>
      </c>
      <c r="F754" s="4">
        <v>16.2</v>
      </c>
      <c r="G754" s="4">
        <v>970</v>
      </c>
      <c r="H754" s="4">
        <v>97000</v>
      </c>
      <c r="I754" s="12">
        <v>-97000.97</v>
      </c>
      <c r="J754" s="4">
        <v>688.07</v>
      </c>
      <c r="K754" s="4">
        <v>0</v>
      </c>
    </row>
    <row r="755" spans="1:11">
      <c r="A755" s="4" t="str">
        <f>"20170126"</f>
        <v>20170126</v>
      </c>
      <c r="B755" s="4" t="str">
        <f>"20170126"</f>
        <v>20170126</v>
      </c>
      <c r="C755" s="4" t="str">
        <f>"基金申购拨出"</f>
        <v>基金申购拨出</v>
      </c>
      <c r="D755" s="4" t="str">
        <f t="shared" ref="D755:D765" si="501">"AA0007"</f>
        <v>AA0007</v>
      </c>
      <c r="E755" s="4" t="str">
        <f t="shared" ref="E755:E765" si="502">"银河水星1号集合"</f>
        <v>银河水星1号集合</v>
      </c>
      <c r="F755" s="4">
        <v>0</v>
      </c>
      <c r="G755" s="4">
        <v>0</v>
      </c>
      <c r="H755" s="4">
        <v>0</v>
      </c>
      <c r="I755" s="12">
        <v>-97726.11</v>
      </c>
      <c r="J755" s="4">
        <v>-97038.05</v>
      </c>
      <c r="K755" s="4">
        <v>0</v>
      </c>
    </row>
    <row r="756" spans="1:11">
      <c r="A756" s="4" t="str">
        <f>"20170126"</f>
        <v>20170126</v>
      </c>
      <c r="B756" s="4" t="str">
        <f>"20170125"</f>
        <v>20170125</v>
      </c>
      <c r="C756" s="4" t="str">
        <f>"融券购回"</f>
        <v>融券购回</v>
      </c>
      <c r="D756" s="4" t="str">
        <f>"131810"</f>
        <v>131810</v>
      </c>
      <c r="E756" s="4" t="str">
        <f>"Ｒ-001"</f>
        <v>Ｒ-001</v>
      </c>
      <c r="F756" s="4">
        <v>16.2</v>
      </c>
      <c r="G756" s="4">
        <v>970</v>
      </c>
      <c r="H756" s="4">
        <v>97043.05</v>
      </c>
      <c r="I756" s="12">
        <v>97043.05</v>
      </c>
      <c r="J756" s="4">
        <v>5</v>
      </c>
      <c r="K756" s="4">
        <v>0</v>
      </c>
    </row>
    <row r="757" spans="1:11">
      <c r="A757" s="4" t="str">
        <f>"20170203"</f>
        <v>20170203</v>
      </c>
      <c r="B757" s="4" t="str">
        <f>"20170203"</f>
        <v>20170203</v>
      </c>
      <c r="C757" s="4" t="str">
        <f t="shared" ref="C757:C765" si="503">"基金赎回拨入"</f>
        <v>基金赎回拨入</v>
      </c>
      <c r="D757" s="4" t="str">
        <f t="shared" si="501"/>
        <v>AA0007</v>
      </c>
      <c r="E757" s="4" t="str">
        <f t="shared" si="502"/>
        <v>银河水星1号集合</v>
      </c>
      <c r="F757" s="4">
        <v>0</v>
      </c>
      <c r="G757" s="4">
        <v>0</v>
      </c>
      <c r="H757" s="4">
        <v>0</v>
      </c>
      <c r="I757" s="12">
        <v>0.01</v>
      </c>
      <c r="J757" s="4">
        <v>5</v>
      </c>
      <c r="K757" s="4">
        <v>0</v>
      </c>
    </row>
    <row r="758" spans="1:11">
      <c r="A758" s="4" t="str">
        <f>"20170206"</f>
        <v>20170206</v>
      </c>
      <c r="B758" s="4" t="str">
        <f>"20170206"</f>
        <v>20170206</v>
      </c>
      <c r="C758" s="4" t="str">
        <f t="shared" si="503"/>
        <v>基金赎回拨入</v>
      </c>
      <c r="D758" s="4" t="str">
        <f t="shared" si="501"/>
        <v>AA0007</v>
      </c>
      <c r="E758" s="4" t="str">
        <f t="shared" si="502"/>
        <v>银河水星1号集合</v>
      </c>
      <c r="F758" s="4">
        <v>0</v>
      </c>
      <c r="G758" s="4">
        <v>0</v>
      </c>
      <c r="H758" s="4">
        <v>0</v>
      </c>
      <c r="I758" s="12">
        <v>0.07</v>
      </c>
      <c r="J758" s="4">
        <v>5</v>
      </c>
      <c r="K758" s="4">
        <v>0</v>
      </c>
    </row>
    <row r="759" spans="1:11">
      <c r="A759" s="4" t="str">
        <f>"20170207"</f>
        <v>20170207</v>
      </c>
      <c r="B759" s="4" t="str">
        <f>"20170207"</f>
        <v>20170207</v>
      </c>
      <c r="C759" s="4" t="str">
        <f t="shared" si="503"/>
        <v>基金赎回拨入</v>
      </c>
      <c r="D759" s="4" t="str">
        <f t="shared" si="501"/>
        <v>AA0007</v>
      </c>
      <c r="E759" s="4" t="str">
        <f t="shared" si="502"/>
        <v>银河水星1号集合</v>
      </c>
      <c r="F759" s="4">
        <v>0</v>
      </c>
      <c r="G759" s="4">
        <v>0</v>
      </c>
      <c r="H759" s="4">
        <v>0</v>
      </c>
      <c r="I759" s="12">
        <v>0.03</v>
      </c>
      <c r="J759" s="4">
        <v>5</v>
      </c>
      <c r="K759" s="4">
        <v>0</v>
      </c>
    </row>
    <row r="760" spans="1:11">
      <c r="A760" s="4" t="str">
        <f>"20170208"</f>
        <v>20170208</v>
      </c>
      <c r="B760" s="4" t="str">
        <f>"20170208"</f>
        <v>20170208</v>
      </c>
      <c r="C760" s="4" t="str">
        <f t="shared" si="503"/>
        <v>基金赎回拨入</v>
      </c>
      <c r="D760" s="4" t="str">
        <f t="shared" si="501"/>
        <v>AA0007</v>
      </c>
      <c r="E760" s="4" t="str">
        <f t="shared" si="502"/>
        <v>银河水星1号集合</v>
      </c>
      <c r="F760" s="4">
        <v>0</v>
      </c>
      <c r="G760" s="4">
        <v>0</v>
      </c>
      <c r="H760" s="4">
        <v>0</v>
      </c>
      <c r="I760" s="12">
        <v>0.01</v>
      </c>
      <c r="J760" s="4">
        <v>5</v>
      </c>
      <c r="K760" s="4">
        <v>0</v>
      </c>
    </row>
    <row r="761" spans="1:11">
      <c r="A761" s="4" t="str">
        <f>"20170209"</f>
        <v>20170209</v>
      </c>
      <c r="B761" s="4" t="str">
        <f>"20170209"</f>
        <v>20170209</v>
      </c>
      <c r="C761" s="4" t="str">
        <f t="shared" si="503"/>
        <v>基金赎回拨入</v>
      </c>
      <c r="D761" s="4" t="str">
        <f t="shared" si="501"/>
        <v>AA0007</v>
      </c>
      <c r="E761" s="4" t="str">
        <f t="shared" si="502"/>
        <v>银河水星1号集合</v>
      </c>
      <c r="F761" s="4">
        <v>0</v>
      </c>
      <c r="G761" s="4">
        <v>0</v>
      </c>
      <c r="H761" s="4">
        <v>0</v>
      </c>
      <c r="I761" s="12">
        <v>0.01</v>
      </c>
      <c r="J761" s="4">
        <v>5</v>
      </c>
      <c r="K761" s="4">
        <v>0</v>
      </c>
    </row>
    <row r="762" spans="1:11">
      <c r="A762" s="4" t="str">
        <f>"20170210"</f>
        <v>20170210</v>
      </c>
      <c r="B762" s="4" t="str">
        <f>"20170210"</f>
        <v>20170210</v>
      </c>
      <c r="C762" s="4" t="str">
        <f t="shared" si="503"/>
        <v>基金赎回拨入</v>
      </c>
      <c r="D762" s="4" t="str">
        <f t="shared" si="501"/>
        <v>AA0007</v>
      </c>
      <c r="E762" s="4" t="str">
        <f t="shared" si="502"/>
        <v>银河水星1号集合</v>
      </c>
      <c r="F762" s="4">
        <v>0</v>
      </c>
      <c r="G762" s="4">
        <v>0</v>
      </c>
      <c r="H762" s="4">
        <v>0</v>
      </c>
      <c r="I762" s="12">
        <v>0.01</v>
      </c>
      <c r="J762" s="4">
        <v>5</v>
      </c>
      <c r="K762" s="4">
        <v>0</v>
      </c>
    </row>
    <row r="763" spans="1:11">
      <c r="A763" s="4" t="str">
        <f>"20170213"</f>
        <v>20170213</v>
      </c>
      <c r="B763" s="4" t="str">
        <f>"20170213"</f>
        <v>20170213</v>
      </c>
      <c r="C763" s="4" t="str">
        <f t="shared" si="503"/>
        <v>基金赎回拨入</v>
      </c>
      <c r="D763" s="4" t="str">
        <f t="shared" si="501"/>
        <v>AA0007</v>
      </c>
      <c r="E763" s="4" t="str">
        <f t="shared" si="502"/>
        <v>银河水星1号集合</v>
      </c>
      <c r="F763" s="4">
        <v>0</v>
      </c>
      <c r="G763" s="4">
        <v>0</v>
      </c>
      <c r="H763" s="4">
        <v>0</v>
      </c>
      <c r="I763" s="12">
        <v>0.01</v>
      </c>
      <c r="J763" s="4">
        <v>5</v>
      </c>
      <c r="K763" s="4">
        <v>0</v>
      </c>
    </row>
    <row r="764" spans="1:11">
      <c r="A764" s="4" t="str">
        <f>"20170214"</f>
        <v>20170214</v>
      </c>
      <c r="B764" s="4" t="str">
        <f>"20170214"</f>
        <v>20170214</v>
      </c>
      <c r="C764" s="4" t="str">
        <f t="shared" si="503"/>
        <v>基金赎回拨入</v>
      </c>
      <c r="D764" s="4" t="str">
        <f t="shared" si="501"/>
        <v>AA0007</v>
      </c>
      <c r="E764" s="4" t="str">
        <f t="shared" si="502"/>
        <v>银河水星1号集合</v>
      </c>
      <c r="F764" s="4">
        <v>0</v>
      </c>
      <c r="G764" s="4">
        <v>0</v>
      </c>
      <c r="H764" s="4">
        <v>0</v>
      </c>
      <c r="I764" s="12">
        <v>0.03</v>
      </c>
      <c r="J764" s="4">
        <v>5</v>
      </c>
      <c r="K764" s="4">
        <v>0</v>
      </c>
    </row>
    <row r="765" spans="1:11">
      <c r="A765" s="4" t="str">
        <f>"20170215"</f>
        <v>20170215</v>
      </c>
      <c r="B765" s="4" t="str">
        <f>"20170215"</f>
        <v>20170215</v>
      </c>
      <c r="C765" s="4" t="str">
        <f t="shared" si="503"/>
        <v>基金赎回拨入</v>
      </c>
      <c r="D765" s="4" t="str">
        <f t="shared" si="501"/>
        <v>AA0007</v>
      </c>
      <c r="E765" s="4" t="str">
        <f t="shared" si="502"/>
        <v>银河水星1号集合</v>
      </c>
      <c r="F765" s="4">
        <v>0</v>
      </c>
      <c r="G765" s="4">
        <v>24938</v>
      </c>
      <c r="H765" s="4">
        <v>0</v>
      </c>
      <c r="I765" s="12">
        <v>24938.74</v>
      </c>
      <c r="J765" s="4">
        <v>24943.73</v>
      </c>
      <c r="K765" s="4">
        <v>0</v>
      </c>
    </row>
    <row r="766" spans="1:11">
      <c r="A766" s="4" t="str">
        <f>"20170215"</f>
        <v>20170215</v>
      </c>
      <c r="B766" s="4" t="str">
        <f>"20170215"</f>
        <v>20170215</v>
      </c>
      <c r="C766" s="4" t="str">
        <f>"证券买入"</f>
        <v>证券买入</v>
      </c>
      <c r="D766" s="4" t="str">
        <f>"000601"</f>
        <v>000601</v>
      </c>
      <c r="E766" s="4" t="str">
        <f>"韶能股份"</f>
        <v>韶能股份</v>
      </c>
      <c r="F766" s="4">
        <v>8.31</v>
      </c>
      <c r="G766" s="4">
        <v>3000</v>
      </c>
      <c r="H766" s="4">
        <v>24930</v>
      </c>
      <c r="I766" s="12">
        <v>-24937.73</v>
      </c>
      <c r="J766" s="4">
        <v>6</v>
      </c>
      <c r="K766" s="4">
        <v>9400</v>
      </c>
    </row>
    <row r="767" spans="1:11">
      <c r="A767" s="4" t="str">
        <f>"20170216"</f>
        <v>20170216</v>
      </c>
      <c r="B767" s="4" t="str">
        <f>"20170216"</f>
        <v>20170216</v>
      </c>
      <c r="C767" s="4" t="str">
        <f>"基金申购拨出"</f>
        <v>基金申购拨出</v>
      </c>
      <c r="D767" s="4" t="str">
        <f t="shared" ref="D767:D771" si="504">"AA0007"</f>
        <v>AA0007</v>
      </c>
      <c r="E767" s="4" t="str">
        <f t="shared" ref="E767:E771" si="505">"银河水星1号集合"</f>
        <v>银河水星1号集合</v>
      </c>
      <c r="F767" s="4">
        <v>0</v>
      </c>
      <c r="G767" s="4">
        <v>0</v>
      </c>
      <c r="H767" s="4">
        <v>0</v>
      </c>
      <c r="I767" s="12">
        <v>-10925.17</v>
      </c>
      <c r="J767" s="4">
        <v>-10919.18</v>
      </c>
      <c r="K767" s="4">
        <v>0</v>
      </c>
    </row>
    <row r="768" spans="1:11">
      <c r="A768" s="4" t="str">
        <f t="shared" ref="A768:A770" si="506">"20170217"</f>
        <v>20170217</v>
      </c>
      <c r="B768" s="4" t="str">
        <f t="shared" ref="B768:B770" si="507">"20170217"</f>
        <v>20170217</v>
      </c>
      <c r="C768" s="4" t="str">
        <f>"基金赎回拨入"</f>
        <v>基金赎回拨入</v>
      </c>
      <c r="D768" s="4" t="str">
        <f t="shared" si="504"/>
        <v>AA0007</v>
      </c>
      <c r="E768" s="4" t="str">
        <f t="shared" si="505"/>
        <v>银河水星1号集合</v>
      </c>
      <c r="F768" s="4">
        <v>0</v>
      </c>
      <c r="G768" s="4">
        <v>111</v>
      </c>
      <c r="H768" s="4">
        <v>0</v>
      </c>
      <c r="I768" s="12">
        <v>111.03</v>
      </c>
      <c r="J768" s="4">
        <v>116.02</v>
      </c>
      <c r="K768" s="4">
        <v>0</v>
      </c>
    </row>
    <row r="769" spans="1:11">
      <c r="A769" s="4" t="str">
        <f t="shared" si="506"/>
        <v>20170217</v>
      </c>
      <c r="B769" s="4" t="str">
        <f t="shared" si="507"/>
        <v>20170217</v>
      </c>
      <c r="C769" s="4" t="str">
        <f>"证券买入"</f>
        <v>证券买入</v>
      </c>
      <c r="D769" s="4" t="str">
        <f>"002183"</f>
        <v>002183</v>
      </c>
      <c r="E769" s="4" t="str">
        <f>"怡 亚 通"</f>
        <v>怡 亚 通</v>
      </c>
      <c r="F769" s="4">
        <v>10.84</v>
      </c>
      <c r="G769" s="4">
        <v>2000</v>
      </c>
      <c r="H769" s="4">
        <v>21680</v>
      </c>
      <c r="I769" s="12">
        <v>-21686.72</v>
      </c>
      <c r="J769" s="4">
        <v>-21570.7</v>
      </c>
      <c r="K769" s="4">
        <v>7000</v>
      </c>
    </row>
    <row r="770" spans="1:11">
      <c r="A770" s="4" t="str">
        <f t="shared" si="506"/>
        <v>20170217</v>
      </c>
      <c r="B770" s="4" t="str">
        <f t="shared" si="507"/>
        <v>20170217</v>
      </c>
      <c r="C770" s="4" t="str">
        <f>"证券卖出"</f>
        <v>证券卖出</v>
      </c>
      <c r="D770" s="4" t="str">
        <f>"002183"</f>
        <v>002183</v>
      </c>
      <c r="E770" s="4" t="str">
        <f>"怡 亚 通"</f>
        <v>怡 亚 通</v>
      </c>
      <c r="F770" s="4">
        <v>10.8</v>
      </c>
      <c r="G770" s="4">
        <v>2000</v>
      </c>
      <c r="H770" s="4">
        <v>21600</v>
      </c>
      <c r="I770" s="12">
        <v>21571.7</v>
      </c>
      <c r="J770" s="4">
        <v>1</v>
      </c>
      <c r="K770" s="4">
        <v>5000</v>
      </c>
    </row>
    <row r="771" spans="1:11">
      <c r="A771" s="4" t="str">
        <f>"20170220"</f>
        <v>20170220</v>
      </c>
      <c r="B771" s="4" t="str">
        <f>"20170220"</f>
        <v>20170220</v>
      </c>
      <c r="C771" s="4" t="str">
        <f>"基金申购拨出"</f>
        <v>基金申购拨出</v>
      </c>
      <c r="D771" s="4" t="str">
        <f t="shared" si="504"/>
        <v>AA0007</v>
      </c>
      <c r="E771" s="4" t="str">
        <f t="shared" si="505"/>
        <v>银河水星1号集合</v>
      </c>
      <c r="F771" s="4">
        <v>0</v>
      </c>
      <c r="G771" s="4">
        <v>0</v>
      </c>
      <c r="H771" s="4">
        <v>0</v>
      </c>
      <c r="I771" s="12">
        <v>-24687.62</v>
      </c>
      <c r="J771" s="4">
        <v>-24686.62</v>
      </c>
      <c r="K771" s="4">
        <v>0</v>
      </c>
    </row>
    <row r="772" spans="1:11">
      <c r="A772" s="4" t="str">
        <f>"20170220"</f>
        <v>20170220</v>
      </c>
      <c r="B772" s="4" t="str">
        <f>"20170220"</f>
        <v>20170220</v>
      </c>
      <c r="C772" s="4" t="str">
        <f>"证券卖出"</f>
        <v>证券卖出</v>
      </c>
      <c r="D772" s="4" t="str">
        <f>"000601"</f>
        <v>000601</v>
      </c>
      <c r="E772" s="4" t="str">
        <f>"韶能股份"</f>
        <v>韶能股份</v>
      </c>
      <c r="F772" s="4">
        <v>8.24</v>
      </c>
      <c r="G772" s="4">
        <v>3000</v>
      </c>
      <c r="H772" s="4">
        <v>24720</v>
      </c>
      <c r="I772" s="12">
        <v>24687.62</v>
      </c>
      <c r="J772" s="4">
        <v>1</v>
      </c>
      <c r="K772" s="4">
        <v>6400</v>
      </c>
    </row>
    <row r="773" spans="1:11">
      <c r="A773" s="4" t="str">
        <f>"20170227"</f>
        <v>20170227</v>
      </c>
      <c r="B773" s="4" t="str">
        <f>"20170227"</f>
        <v>20170227</v>
      </c>
      <c r="C773" s="4" t="str">
        <f>"基金赎回拨入"</f>
        <v>基金赎回拨入</v>
      </c>
      <c r="D773" s="4" t="str">
        <f t="shared" ref="D773:D778" si="508">"AA0007"</f>
        <v>AA0007</v>
      </c>
      <c r="E773" s="4" t="str">
        <f t="shared" ref="E773:E778" si="509">"银河水星1号集合"</f>
        <v>银河水星1号集合</v>
      </c>
      <c r="F773" s="4">
        <v>0</v>
      </c>
      <c r="G773" s="4">
        <v>24727</v>
      </c>
      <c r="H773" s="4">
        <v>0</v>
      </c>
      <c r="I773" s="12">
        <v>24727.66</v>
      </c>
      <c r="J773" s="4">
        <v>24728.66</v>
      </c>
      <c r="K773" s="4">
        <v>0</v>
      </c>
    </row>
    <row r="774" spans="1:11">
      <c r="A774" s="4" t="str">
        <f>"20170227"</f>
        <v>20170227</v>
      </c>
      <c r="B774" s="4" t="str">
        <f>"20170227"</f>
        <v>20170227</v>
      </c>
      <c r="C774" s="4" t="str">
        <f>"证券买入"</f>
        <v>证券买入</v>
      </c>
      <c r="D774" s="4" t="str">
        <f>"000601"</f>
        <v>000601</v>
      </c>
      <c r="E774" s="4" t="str">
        <f>"韶能股份"</f>
        <v>韶能股份</v>
      </c>
      <c r="F774" s="4">
        <v>8.24</v>
      </c>
      <c r="G774" s="4">
        <v>3000</v>
      </c>
      <c r="H774" s="4">
        <v>24720</v>
      </c>
      <c r="I774" s="12">
        <v>-24727.66</v>
      </c>
      <c r="J774" s="4">
        <v>1</v>
      </c>
      <c r="K774" s="4">
        <v>9400</v>
      </c>
    </row>
    <row r="775" spans="1:11">
      <c r="A775" s="4" t="str">
        <f>"20170313"</f>
        <v>20170313</v>
      </c>
      <c r="B775" s="4" t="str">
        <f>"20170313"</f>
        <v>20170313</v>
      </c>
      <c r="C775" s="4" t="str">
        <f>"基金申购拨出"</f>
        <v>基金申购拨出</v>
      </c>
      <c r="D775" s="4" t="str">
        <f t="shared" si="508"/>
        <v>AA0007</v>
      </c>
      <c r="E775" s="4" t="str">
        <f t="shared" si="509"/>
        <v>银河水星1号集合</v>
      </c>
      <c r="F775" s="4">
        <v>0</v>
      </c>
      <c r="G775" s="4">
        <v>0</v>
      </c>
      <c r="H775" s="4">
        <v>0</v>
      </c>
      <c r="I775" s="12">
        <v>-21312.04</v>
      </c>
      <c r="J775" s="4">
        <v>-21311.04</v>
      </c>
      <c r="K775" s="4">
        <v>0</v>
      </c>
    </row>
    <row r="776" spans="1:11">
      <c r="A776" s="4" t="str">
        <f>"20170313"</f>
        <v>20170313</v>
      </c>
      <c r="B776" s="4" t="str">
        <f>"20170313"</f>
        <v>20170313</v>
      </c>
      <c r="C776" s="4" t="str">
        <f>"证券卖出"</f>
        <v>证券卖出</v>
      </c>
      <c r="D776" s="4" t="str">
        <f>"002543"</f>
        <v>002543</v>
      </c>
      <c r="E776" s="4" t="str">
        <f>"万和电气"</f>
        <v>万和电气</v>
      </c>
      <c r="F776" s="4">
        <v>21.34</v>
      </c>
      <c r="G776" s="4">
        <v>1000</v>
      </c>
      <c r="H776" s="4">
        <v>21340</v>
      </c>
      <c r="I776" s="12">
        <v>21312.04</v>
      </c>
      <c r="J776" s="4">
        <v>1</v>
      </c>
      <c r="K776" s="4">
        <v>0</v>
      </c>
    </row>
    <row r="777" spans="1:11">
      <c r="A777" s="4" t="str">
        <f>"20170316"</f>
        <v>20170316</v>
      </c>
      <c r="B777" s="4" t="str">
        <f>"20170316"</f>
        <v>20170316</v>
      </c>
      <c r="C777" s="4" t="str">
        <f>"基金赎回拨入"</f>
        <v>基金赎回拨入</v>
      </c>
      <c r="D777" s="4" t="str">
        <f t="shared" si="508"/>
        <v>AA0007</v>
      </c>
      <c r="E777" s="4" t="str">
        <f t="shared" si="509"/>
        <v>银河水星1号集合</v>
      </c>
      <c r="F777" s="4">
        <v>0</v>
      </c>
      <c r="G777" s="4">
        <v>100001</v>
      </c>
      <c r="H777" s="4">
        <v>0</v>
      </c>
      <c r="I777" s="12">
        <v>100001</v>
      </c>
      <c r="J777" s="4">
        <v>100002</v>
      </c>
      <c r="K777" s="4">
        <v>0</v>
      </c>
    </row>
    <row r="778" spans="1:11">
      <c r="A778" s="4" t="str">
        <f>"20170317"</f>
        <v>20170317</v>
      </c>
      <c r="B778" s="4" t="str">
        <f>"20170317"</f>
        <v>20170317</v>
      </c>
      <c r="C778" s="4" t="str">
        <f>"基金申购拨出"</f>
        <v>基金申购拨出</v>
      </c>
      <c r="D778" s="4" t="str">
        <f t="shared" si="508"/>
        <v>AA0007</v>
      </c>
      <c r="E778" s="4" t="str">
        <f t="shared" si="509"/>
        <v>银河水星1号集合</v>
      </c>
      <c r="F778" s="4">
        <v>0</v>
      </c>
      <c r="G778" s="4">
        <v>0</v>
      </c>
      <c r="H778" s="4">
        <v>0</v>
      </c>
      <c r="I778" s="12">
        <v>-100002</v>
      </c>
      <c r="J778" s="4">
        <v>0</v>
      </c>
      <c r="K778" s="4">
        <v>0</v>
      </c>
    </row>
    <row r="779" spans="1:11">
      <c r="A779" s="4" t="str">
        <f>"20170320"</f>
        <v>20170320</v>
      </c>
      <c r="B779" s="4" t="str">
        <f>"20170320"</f>
        <v>20170320</v>
      </c>
      <c r="C779" s="4" t="str">
        <f>"利息归本"</f>
        <v>利息归本</v>
      </c>
      <c r="D779" s="4"/>
      <c r="E779" s="4"/>
      <c r="F779" s="4">
        <v>0</v>
      </c>
      <c r="G779" s="4">
        <v>0</v>
      </c>
      <c r="H779" s="4">
        <v>0</v>
      </c>
      <c r="I779" s="12">
        <v>4.56</v>
      </c>
      <c r="J779" s="4">
        <v>4.56</v>
      </c>
      <c r="K779" s="4">
        <v>0</v>
      </c>
    </row>
    <row r="780" spans="1:11">
      <c r="A780" s="4" t="str">
        <f>"20170322"</f>
        <v>20170322</v>
      </c>
      <c r="B780" s="4" t="str">
        <f>"0"</f>
        <v>0</v>
      </c>
      <c r="C780" s="4" t="str">
        <f>"基金红利拨入"</f>
        <v>基金红利拨入</v>
      </c>
      <c r="D780" s="4" t="str">
        <f t="shared" ref="D780:D783" si="510">"AA0007"</f>
        <v>AA0007</v>
      </c>
      <c r="E780" s="4" t="str">
        <f t="shared" ref="E780:E783" si="511">"银河水星1号集合"</f>
        <v>银河水星1号集合</v>
      </c>
      <c r="F780" s="4">
        <v>0</v>
      </c>
      <c r="G780" s="4">
        <v>0</v>
      </c>
      <c r="H780" s="4">
        <v>325.11</v>
      </c>
      <c r="I780" s="12">
        <v>325.11</v>
      </c>
      <c r="J780" s="4">
        <v>329.67</v>
      </c>
      <c r="K780" s="4">
        <v>0</v>
      </c>
    </row>
    <row r="781" spans="1:11">
      <c r="A781" s="4" t="str">
        <f>"20170323"</f>
        <v>20170323</v>
      </c>
      <c r="B781" s="4" t="str">
        <f>"20170323"</f>
        <v>20170323</v>
      </c>
      <c r="C781" s="4" t="str">
        <f t="shared" ref="C781:C785" si="512">"基金赎回拨入"</f>
        <v>基金赎回拨入</v>
      </c>
      <c r="D781" s="4" t="str">
        <f t="shared" si="510"/>
        <v>AA0007</v>
      </c>
      <c r="E781" s="4" t="str">
        <f t="shared" si="511"/>
        <v>银河水星1号集合</v>
      </c>
      <c r="F781" s="4">
        <v>0</v>
      </c>
      <c r="G781" s="4">
        <v>24819</v>
      </c>
      <c r="H781" s="4">
        <v>0</v>
      </c>
      <c r="I781" s="12">
        <v>24819.12</v>
      </c>
      <c r="J781" s="4">
        <v>25148.79</v>
      </c>
      <c r="K781" s="4">
        <v>0</v>
      </c>
    </row>
    <row r="782" spans="1:11">
      <c r="A782" s="4" t="str">
        <f>"20170323"</f>
        <v>20170323</v>
      </c>
      <c r="B782" s="4" t="str">
        <f>"20170323"</f>
        <v>20170323</v>
      </c>
      <c r="C782" s="4" t="str">
        <f t="shared" ref="C782:C786" si="513">"证券买入"</f>
        <v>证券买入</v>
      </c>
      <c r="D782" s="4" t="str">
        <f>"000601"</f>
        <v>000601</v>
      </c>
      <c r="E782" s="4" t="str">
        <f>"韶能股份"</f>
        <v>韶能股份</v>
      </c>
      <c r="F782" s="4">
        <v>8.38</v>
      </c>
      <c r="G782" s="4">
        <v>3000</v>
      </c>
      <c r="H782" s="4">
        <v>25140</v>
      </c>
      <c r="I782" s="12">
        <v>-25147.79</v>
      </c>
      <c r="J782" s="4">
        <v>1</v>
      </c>
      <c r="K782" s="4">
        <v>12400</v>
      </c>
    </row>
    <row r="783" spans="1:11">
      <c r="A783" s="4" t="str">
        <f>"20170324"</f>
        <v>20170324</v>
      </c>
      <c r="B783" s="4" t="str">
        <f>"20170324"</f>
        <v>20170324</v>
      </c>
      <c r="C783" s="4" t="str">
        <f t="shared" si="512"/>
        <v>基金赎回拨入</v>
      </c>
      <c r="D783" s="4" t="str">
        <f t="shared" si="510"/>
        <v>AA0007</v>
      </c>
      <c r="E783" s="4" t="str">
        <f t="shared" si="511"/>
        <v>银河水星1号集合</v>
      </c>
      <c r="F783" s="4">
        <v>0</v>
      </c>
      <c r="G783" s="4">
        <v>7005</v>
      </c>
      <c r="H783" s="4">
        <v>0</v>
      </c>
      <c r="I783" s="12">
        <v>7005</v>
      </c>
      <c r="J783" s="4">
        <v>7006</v>
      </c>
      <c r="K783" s="4">
        <v>0</v>
      </c>
    </row>
    <row r="784" spans="1:11">
      <c r="A784" s="4" t="str">
        <f>"20170324"</f>
        <v>20170324</v>
      </c>
      <c r="B784" s="4" t="str">
        <f>"20170324"</f>
        <v>20170324</v>
      </c>
      <c r="C784" s="4" t="str">
        <f t="shared" si="513"/>
        <v>证券买入</v>
      </c>
      <c r="D784" s="4" t="str">
        <f t="shared" ref="D784:D788" si="514">"150276"</f>
        <v>150276</v>
      </c>
      <c r="E784" s="4" t="str">
        <f t="shared" ref="E784:E788" si="515">"一带一B"</f>
        <v>一带一B</v>
      </c>
      <c r="F784" s="4">
        <v>0.7</v>
      </c>
      <c r="G784" s="4">
        <v>10000</v>
      </c>
      <c r="H784" s="4">
        <v>7000</v>
      </c>
      <c r="I784" s="12">
        <v>-7005</v>
      </c>
      <c r="J784" s="4">
        <v>1</v>
      </c>
      <c r="K784" s="4">
        <v>10000</v>
      </c>
    </row>
    <row r="785" spans="1:11">
      <c r="A785" s="4" t="str">
        <f t="shared" ref="A785:A789" si="516">"20170327"</f>
        <v>20170327</v>
      </c>
      <c r="B785" s="4" t="str">
        <f t="shared" ref="B785:B789" si="517">"20170327"</f>
        <v>20170327</v>
      </c>
      <c r="C785" s="4" t="str">
        <f t="shared" si="512"/>
        <v>基金赎回拨入</v>
      </c>
      <c r="D785" s="4" t="str">
        <f>"AA0007"</f>
        <v>AA0007</v>
      </c>
      <c r="E785" s="4" t="str">
        <f>"银河水星1号集合"</f>
        <v>银河水星1号集合</v>
      </c>
      <c r="F785" s="4">
        <v>0</v>
      </c>
      <c r="G785" s="4">
        <v>19120</v>
      </c>
      <c r="H785" s="4">
        <v>0</v>
      </c>
      <c r="I785" s="12">
        <v>19120</v>
      </c>
      <c r="J785" s="4">
        <v>19121</v>
      </c>
      <c r="K785" s="4">
        <v>0</v>
      </c>
    </row>
    <row r="786" spans="1:11">
      <c r="A786" s="4" t="str">
        <f t="shared" si="516"/>
        <v>20170327</v>
      </c>
      <c r="B786" s="4" t="str">
        <f t="shared" si="517"/>
        <v>20170327</v>
      </c>
      <c r="C786" s="4" t="str">
        <f t="shared" si="513"/>
        <v>证券买入</v>
      </c>
      <c r="D786" s="4" t="str">
        <f t="shared" si="514"/>
        <v>150276</v>
      </c>
      <c r="E786" s="4" t="str">
        <f t="shared" si="515"/>
        <v>一带一B</v>
      </c>
      <c r="F786" s="4">
        <v>0.77</v>
      </c>
      <c r="G786" s="4">
        <v>10000</v>
      </c>
      <c r="H786" s="4">
        <v>7700</v>
      </c>
      <c r="I786" s="12">
        <v>-7705</v>
      </c>
      <c r="J786" s="4">
        <v>11416</v>
      </c>
      <c r="K786" s="4">
        <v>20000</v>
      </c>
    </row>
    <row r="787" spans="1:11">
      <c r="A787" s="4" t="str">
        <f t="shared" si="516"/>
        <v>20170327</v>
      </c>
      <c r="B787" s="4" t="str">
        <f t="shared" si="517"/>
        <v>20170327</v>
      </c>
      <c r="C787" s="4" t="str">
        <f>"证券卖出"</f>
        <v>证券卖出</v>
      </c>
      <c r="D787" s="4" t="str">
        <f t="shared" si="514"/>
        <v>150276</v>
      </c>
      <c r="E787" s="4" t="str">
        <f t="shared" si="515"/>
        <v>一带一B</v>
      </c>
      <c r="F787" s="4">
        <v>0.763</v>
      </c>
      <c r="G787" s="4">
        <v>10000</v>
      </c>
      <c r="H787" s="4">
        <v>7630</v>
      </c>
      <c r="I787" s="12">
        <v>7625</v>
      </c>
      <c r="J787" s="4">
        <v>19041</v>
      </c>
      <c r="K787" s="4">
        <v>10000</v>
      </c>
    </row>
    <row r="788" spans="1:11">
      <c r="A788" s="4" t="str">
        <f t="shared" si="516"/>
        <v>20170327</v>
      </c>
      <c r="B788" s="4" t="str">
        <f t="shared" si="517"/>
        <v>20170327</v>
      </c>
      <c r="C788" s="4" t="str">
        <f t="shared" ref="C788:C791" si="518">"证券买入"</f>
        <v>证券买入</v>
      </c>
      <c r="D788" s="4" t="str">
        <f t="shared" si="514"/>
        <v>150276</v>
      </c>
      <c r="E788" s="4" t="str">
        <f t="shared" si="515"/>
        <v>一带一B</v>
      </c>
      <c r="F788" s="4">
        <v>0.761</v>
      </c>
      <c r="G788" s="4">
        <v>10000</v>
      </c>
      <c r="H788" s="4">
        <v>7610</v>
      </c>
      <c r="I788" s="12">
        <v>-7615</v>
      </c>
      <c r="J788" s="4">
        <v>11426</v>
      </c>
      <c r="K788" s="4">
        <v>20000</v>
      </c>
    </row>
    <row r="789" spans="1:11">
      <c r="A789" s="4" t="str">
        <f t="shared" si="516"/>
        <v>20170327</v>
      </c>
      <c r="B789" s="4" t="str">
        <f t="shared" si="517"/>
        <v>20170327</v>
      </c>
      <c r="C789" s="4" t="str">
        <f t="shared" si="518"/>
        <v>证券买入</v>
      </c>
      <c r="D789" s="4" t="str">
        <f>"150197"</f>
        <v>150197</v>
      </c>
      <c r="E789" s="4" t="str">
        <f>"有色B"</f>
        <v>有色B</v>
      </c>
      <c r="F789" s="4">
        <v>1.142</v>
      </c>
      <c r="G789" s="4">
        <v>10000</v>
      </c>
      <c r="H789" s="4">
        <v>11420</v>
      </c>
      <c r="I789" s="12">
        <v>-11425</v>
      </c>
      <c r="J789" s="4">
        <v>1</v>
      </c>
      <c r="K789" s="4">
        <v>10000</v>
      </c>
    </row>
    <row r="790" spans="1:11">
      <c r="A790" s="4" t="str">
        <f>"20170328"</f>
        <v>20170328</v>
      </c>
      <c r="B790" s="4" t="str">
        <f>"20170328"</f>
        <v>20170328</v>
      </c>
      <c r="C790" s="4" t="str">
        <f>"基金赎回拨入"</f>
        <v>基金赎回拨入</v>
      </c>
      <c r="D790" s="4" t="str">
        <f t="shared" ref="D790:D794" si="519">"AA0007"</f>
        <v>AA0007</v>
      </c>
      <c r="E790" s="4" t="str">
        <f t="shared" ref="E790:E794" si="520">"银河水星1号集合"</f>
        <v>银河水星1号集合</v>
      </c>
      <c r="F790" s="4">
        <v>0</v>
      </c>
      <c r="G790" s="4">
        <v>11405</v>
      </c>
      <c r="H790" s="4">
        <v>0</v>
      </c>
      <c r="I790" s="12">
        <v>11405</v>
      </c>
      <c r="J790" s="4">
        <v>11406</v>
      </c>
      <c r="K790" s="4">
        <v>0</v>
      </c>
    </row>
    <row r="791" spans="1:11">
      <c r="A791" s="4" t="str">
        <f>"20170328"</f>
        <v>20170328</v>
      </c>
      <c r="B791" s="4" t="str">
        <f>"20170328"</f>
        <v>20170328</v>
      </c>
      <c r="C791" s="4" t="str">
        <f t="shared" si="518"/>
        <v>证券买入</v>
      </c>
      <c r="D791" s="4" t="str">
        <f>"150197"</f>
        <v>150197</v>
      </c>
      <c r="E791" s="4" t="str">
        <f>"有色B"</f>
        <v>有色B</v>
      </c>
      <c r="F791" s="4">
        <v>1.14</v>
      </c>
      <c r="G791" s="4">
        <v>10000</v>
      </c>
      <c r="H791" s="4">
        <v>11400</v>
      </c>
      <c r="I791" s="12">
        <v>-11405</v>
      </c>
      <c r="J791" s="4">
        <v>1</v>
      </c>
      <c r="K791" s="4">
        <v>20000</v>
      </c>
    </row>
    <row r="792" spans="1:11">
      <c r="A792" s="4" t="str">
        <f>"20170329"</f>
        <v>20170329</v>
      </c>
      <c r="B792" s="4" t="str">
        <f>"20170329"</f>
        <v>20170329</v>
      </c>
      <c r="C792" s="4" t="str">
        <f t="shared" ref="C792:C796" si="521">"基金申购拨出"</f>
        <v>基金申购拨出</v>
      </c>
      <c r="D792" s="4" t="str">
        <f t="shared" si="519"/>
        <v>AA0007</v>
      </c>
      <c r="E792" s="4" t="str">
        <f t="shared" si="520"/>
        <v>银河水星1号集合</v>
      </c>
      <c r="F792" s="4">
        <v>0</v>
      </c>
      <c r="G792" s="4">
        <v>0</v>
      </c>
      <c r="H792" s="4">
        <v>0</v>
      </c>
      <c r="I792" s="12">
        <v>-13975</v>
      </c>
      <c r="J792" s="4">
        <v>-13974</v>
      </c>
      <c r="K792" s="4">
        <v>0</v>
      </c>
    </row>
    <row r="793" spans="1:11">
      <c r="A793" s="4" t="str">
        <f>"20170329"</f>
        <v>20170329</v>
      </c>
      <c r="B793" s="4" t="str">
        <f>"20170329"</f>
        <v>20170329</v>
      </c>
      <c r="C793" s="4" t="str">
        <f>"证券卖出"</f>
        <v>证券卖出</v>
      </c>
      <c r="D793" s="4" t="str">
        <f>"150276"</f>
        <v>150276</v>
      </c>
      <c r="E793" s="4" t="str">
        <f>"一带一B"</f>
        <v>一带一B</v>
      </c>
      <c r="F793" s="4">
        <v>0.699</v>
      </c>
      <c r="G793" s="4">
        <v>20000</v>
      </c>
      <c r="H793" s="4">
        <v>13980</v>
      </c>
      <c r="I793" s="12">
        <v>13975</v>
      </c>
      <c r="J793" s="4">
        <v>1</v>
      </c>
      <c r="K793" s="4">
        <v>0</v>
      </c>
    </row>
    <row r="794" spans="1:11">
      <c r="A794" s="4" t="str">
        <f>"20170330"</f>
        <v>20170330</v>
      </c>
      <c r="B794" s="4" t="str">
        <f>"20170330"</f>
        <v>20170330</v>
      </c>
      <c r="C794" s="4" t="str">
        <f t="shared" si="521"/>
        <v>基金申购拨出</v>
      </c>
      <c r="D794" s="4" t="str">
        <f t="shared" si="519"/>
        <v>AA0007</v>
      </c>
      <c r="E794" s="4" t="str">
        <f t="shared" si="520"/>
        <v>银河水星1号集合</v>
      </c>
      <c r="F794" s="4">
        <v>0</v>
      </c>
      <c r="G794" s="4">
        <v>0</v>
      </c>
      <c r="H794" s="4">
        <v>0</v>
      </c>
      <c r="I794" s="12">
        <v>-22393.06</v>
      </c>
      <c r="J794" s="4">
        <v>-22392.06</v>
      </c>
      <c r="K794" s="4">
        <v>0</v>
      </c>
    </row>
    <row r="795" spans="1:11">
      <c r="A795" s="4" t="str">
        <f>"20170330"</f>
        <v>20170330</v>
      </c>
      <c r="B795" s="4" t="str">
        <f>"20170330"</f>
        <v>20170330</v>
      </c>
      <c r="C795" s="4" t="str">
        <f>"证券卖出"</f>
        <v>证券卖出</v>
      </c>
      <c r="D795" s="4" t="str">
        <f>"150197"</f>
        <v>150197</v>
      </c>
      <c r="E795" s="4" t="str">
        <f>"有色B"</f>
        <v>有色B</v>
      </c>
      <c r="F795" s="4">
        <v>1.12</v>
      </c>
      <c r="G795" s="4">
        <v>20000</v>
      </c>
      <c r="H795" s="4">
        <v>22400</v>
      </c>
      <c r="I795" s="12">
        <v>22393.06</v>
      </c>
      <c r="J795" s="4">
        <v>1</v>
      </c>
      <c r="K795" s="4">
        <v>0</v>
      </c>
    </row>
    <row r="796" spans="1:11">
      <c r="A796" s="4" t="str">
        <f>"20170405"</f>
        <v>20170405</v>
      </c>
      <c r="B796" s="4" t="str">
        <f>"20170405"</f>
        <v>20170405</v>
      </c>
      <c r="C796" s="4" t="str">
        <f t="shared" si="521"/>
        <v>基金申购拨出</v>
      </c>
      <c r="D796" s="4" t="str">
        <f>"040008"</f>
        <v>040008</v>
      </c>
      <c r="E796" s="4" t="str">
        <f>"华安优选"</f>
        <v>华安优选</v>
      </c>
      <c r="F796" s="4">
        <v>0</v>
      </c>
      <c r="G796" s="4">
        <v>0</v>
      </c>
      <c r="H796" s="4">
        <v>0</v>
      </c>
      <c r="I796" s="12">
        <v>-20000</v>
      </c>
      <c r="J796" s="4">
        <v>-19999</v>
      </c>
      <c r="K796" s="4">
        <v>0</v>
      </c>
    </row>
    <row r="797" spans="1:11">
      <c r="A797" s="4" t="str">
        <f>"20170405"</f>
        <v>20170405</v>
      </c>
      <c r="B797" s="4" t="str">
        <f>"20170405"</f>
        <v>20170405</v>
      </c>
      <c r="C797" s="4" t="str">
        <f t="shared" ref="C797:C800" si="522">"基金赎回拨入"</f>
        <v>基金赎回拨入</v>
      </c>
      <c r="D797" s="4" t="str">
        <f t="shared" ref="D797:D802" si="523">"AA0007"</f>
        <v>AA0007</v>
      </c>
      <c r="E797" s="4" t="str">
        <f t="shared" ref="E797:E802" si="524">"银河水星1号集合"</f>
        <v>银河水星1号集合</v>
      </c>
      <c r="F797" s="4">
        <v>0</v>
      </c>
      <c r="G797" s="4">
        <v>19999</v>
      </c>
      <c r="H797" s="4">
        <v>0</v>
      </c>
      <c r="I797" s="12">
        <v>19999</v>
      </c>
      <c r="J797" s="4">
        <v>0</v>
      </c>
      <c r="K797" s="4">
        <v>0</v>
      </c>
    </row>
    <row r="798" spans="1:11">
      <c r="A798" s="4" t="str">
        <f>"20170410"</f>
        <v>20170410</v>
      </c>
      <c r="B798" s="4" t="str">
        <f t="shared" ref="B798:B800" si="525">"20170410"</f>
        <v>20170410</v>
      </c>
      <c r="C798" s="4" t="str">
        <f t="shared" si="522"/>
        <v>基金赎回拨入</v>
      </c>
      <c r="D798" s="4" t="str">
        <f t="shared" si="523"/>
        <v>AA0007</v>
      </c>
      <c r="E798" s="4" t="str">
        <f t="shared" si="524"/>
        <v>银河水星1号集合</v>
      </c>
      <c r="F798" s="4">
        <v>0</v>
      </c>
      <c r="G798" s="4">
        <v>58894</v>
      </c>
      <c r="H798" s="4">
        <v>0</v>
      </c>
      <c r="I798" s="12">
        <v>58894.27</v>
      </c>
      <c r="J798" s="4">
        <v>58894.27</v>
      </c>
      <c r="K798" s="4">
        <v>0</v>
      </c>
    </row>
    <row r="799" spans="1:11">
      <c r="A799" s="4" t="str">
        <f>"20170410"</f>
        <v>20170410</v>
      </c>
      <c r="B799" s="4" t="str">
        <f t="shared" si="525"/>
        <v>20170410</v>
      </c>
      <c r="C799" s="4" t="str">
        <f>"证券买入"</f>
        <v>证券买入</v>
      </c>
      <c r="D799" s="4" t="str">
        <f>"000601"</f>
        <v>000601</v>
      </c>
      <c r="E799" s="4" t="str">
        <f>"韶能股份"</f>
        <v>韶能股份</v>
      </c>
      <c r="F799" s="4">
        <v>8.31</v>
      </c>
      <c r="G799" s="4">
        <v>7000</v>
      </c>
      <c r="H799" s="4">
        <v>58170</v>
      </c>
      <c r="I799" s="12">
        <v>-58188.03</v>
      </c>
      <c r="J799" s="4">
        <v>706.24</v>
      </c>
      <c r="K799" s="4">
        <v>19400</v>
      </c>
    </row>
    <row r="800" spans="1:11">
      <c r="A800" s="4" t="str">
        <f>"20170413"</f>
        <v>20170413</v>
      </c>
      <c r="B800" s="4" t="str">
        <f t="shared" si="525"/>
        <v>20170410</v>
      </c>
      <c r="C800" s="4" t="str">
        <f t="shared" si="522"/>
        <v>基金赎回拨入</v>
      </c>
      <c r="D800" s="4" t="str">
        <f>"040008"</f>
        <v>040008</v>
      </c>
      <c r="E800" s="4" t="str">
        <f>"华安优选"</f>
        <v>华安优选</v>
      </c>
      <c r="F800" s="4">
        <v>0</v>
      </c>
      <c r="G800" s="4">
        <v>16883</v>
      </c>
      <c r="H800" s="4">
        <v>20436.2</v>
      </c>
      <c r="I800" s="12">
        <v>20334.01</v>
      </c>
      <c r="J800" s="4">
        <v>21040.25</v>
      </c>
      <c r="K800" s="4">
        <v>0</v>
      </c>
    </row>
    <row r="801" spans="1:11">
      <c r="A801" s="4" t="str">
        <f>"20170414"</f>
        <v>20170414</v>
      </c>
      <c r="B801" s="4" t="str">
        <f>"20170414"</f>
        <v>20170414</v>
      </c>
      <c r="C801" s="4" t="str">
        <f>"基金申购拨出"</f>
        <v>基金申购拨出</v>
      </c>
      <c r="D801" s="4" t="str">
        <f t="shared" si="523"/>
        <v>AA0007</v>
      </c>
      <c r="E801" s="4" t="str">
        <f t="shared" si="524"/>
        <v>银河水星1号集合</v>
      </c>
      <c r="F801" s="4">
        <v>0</v>
      </c>
      <c r="G801" s="4">
        <v>0</v>
      </c>
      <c r="H801" s="4">
        <v>0</v>
      </c>
      <c r="I801" s="12">
        <v>-21040.25</v>
      </c>
      <c r="J801" s="4">
        <v>0</v>
      </c>
      <c r="K801" s="4">
        <v>0</v>
      </c>
    </row>
    <row r="802" spans="1:11">
      <c r="A802" s="4" t="str">
        <f>"20170504"</f>
        <v>20170504</v>
      </c>
      <c r="B802" s="4" t="str">
        <f>"20170504"</f>
        <v>20170504</v>
      </c>
      <c r="C802" s="4" t="str">
        <f>"基金赎回拨入"</f>
        <v>基金赎回拨入</v>
      </c>
      <c r="D802" s="4" t="str">
        <f t="shared" si="523"/>
        <v>AA0007</v>
      </c>
      <c r="E802" s="4" t="str">
        <f t="shared" si="524"/>
        <v>银河水星1号集合</v>
      </c>
      <c r="F802" s="4">
        <v>0</v>
      </c>
      <c r="G802" s="4">
        <v>21040</v>
      </c>
      <c r="H802" s="4">
        <v>0</v>
      </c>
      <c r="I802" s="12">
        <v>21040.25</v>
      </c>
      <c r="J802" s="4">
        <v>21040.25</v>
      </c>
      <c r="K802" s="4">
        <v>0</v>
      </c>
    </row>
    <row r="803" spans="1:11">
      <c r="A803" s="4" t="str">
        <f>"20170504"</f>
        <v>20170504</v>
      </c>
      <c r="B803" s="4" t="str">
        <f>"20170504"</f>
        <v>20170504</v>
      </c>
      <c r="C803" s="4" t="str">
        <f>"证券买入"</f>
        <v>证券买入</v>
      </c>
      <c r="D803" s="4" t="str">
        <f>"150197"</f>
        <v>150197</v>
      </c>
      <c r="E803" s="4" t="str">
        <f>"有色B"</f>
        <v>有色B</v>
      </c>
      <c r="F803" s="4">
        <v>0.933</v>
      </c>
      <c r="G803" s="4">
        <v>22400</v>
      </c>
      <c r="H803" s="4">
        <v>20899.2</v>
      </c>
      <c r="I803" s="12">
        <v>-20905.68</v>
      </c>
      <c r="J803" s="4">
        <v>134.57</v>
      </c>
      <c r="K803" s="4">
        <v>22400</v>
      </c>
    </row>
    <row r="804" spans="1:11">
      <c r="A804" s="4" t="str">
        <f>"20170505"</f>
        <v>20170505</v>
      </c>
      <c r="B804" s="4" t="str">
        <f>"20170505"</f>
        <v>20170505</v>
      </c>
      <c r="C804" s="4" t="str">
        <f>"基金申购拨出"</f>
        <v>基金申购拨出</v>
      </c>
      <c r="D804" s="4" t="str">
        <f>"AA0007"</f>
        <v>AA0007</v>
      </c>
      <c r="E804" s="4" t="str">
        <f>"银河水星1号集合"</f>
        <v>银河水星1号集合</v>
      </c>
      <c r="F804" s="4">
        <v>0</v>
      </c>
      <c r="G804" s="4">
        <v>0</v>
      </c>
      <c r="H804" s="4">
        <v>0</v>
      </c>
      <c r="I804" s="12">
        <v>-20421.68</v>
      </c>
      <c r="J804" s="4">
        <v>-20287.11</v>
      </c>
      <c r="K804" s="4">
        <v>0</v>
      </c>
    </row>
    <row r="805" spans="1:11">
      <c r="A805" s="4" t="str">
        <f>"20170505"</f>
        <v>20170505</v>
      </c>
      <c r="B805" s="4" t="str">
        <f>"20170505"</f>
        <v>20170505</v>
      </c>
      <c r="C805" s="4" t="str">
        <f t="shared" ref="C805:C810" si="526">"证券卖出"</f>
        <v>证券卖出</v>
      </c>
      <c r="D805" s="4" t="str">
        <f>"150197"</f>
        <v>150197</v>
      </c>
      <c r="E805" s="4" t="str">
        <f>"有色B"</f>
        <v>有色B</v>
      </c>
      <c r="F805" s="4">
        <v>0.906</v>
      </c>
      <c r="G805" s="4">
        <v>22400</v>
      </c>
      <c r="H805" s="4">
        <v>20294.4</v>
      </c>
      <c r="I805" s="12">
        <v>20288.11</v>
      </c>
      <c r="J805" s="4">
        <v>1</v>
      </c>
      <c r="K805" s="4">
        <v>0</v>
      </c>
    </row>
    <row r="806" spans="1:11">
      <c r="A806" s="4" t="str">
        <f>"20170509"</f>
        <v>20170509</v>
      </c>
      <c r="B806" s="4" t="str">
        <f>"20170509"</f>
        <v>20170509</v>
      </c>
      <c r="C806" s="4" t="str">
        <f>"基金赎回拨入"</f>
        <v>基金赎回拨入</v>
      </c>
      <c r="D806" s="4" t="str">
        <f>"AA0007"</f>
        <v>AA0007</v>
      </c>
      <c r="E806" s="4" t="str">
        <f>"银河水星1号集合"</f>
        <v>银河水星1号集合</v>
      </c>
      <c r="F806" s="4">
        <v>0</v>
      </c>
      <c r="G806" s="4">
        <v>20421</v>
      </c>
      <c r="H806" s="4">
        <v>0</v>
      </c>
      <c r="I806" s="12">
        <v>20421.68</v>
      </c>
      <c r="J806" s="4">
        <v>20422.68</v>
      </c>
      <c r="K806" s="4">
        <v>0</v>
      </c>
    </row>
    <row r="807" spans="1:11">
      <c r="A807" s="4" t="str">
        <f>"20170509"</f>
        <v>20170509</v>
      </c>
      <c r="B807" s="4" t="str">
        <f>"20170509"</f>
        <v>20170509</v>
      </c>
      <c r="C807" s="4" t="str">
        <f t="shared" ref="C807:C811" si="527">"证券买入"</f>
        <v>证券买入</v>
      </c>
      <c r="D807" s="4" t="str">
        <f t="shared" ref="D807:D811" si="528">"000601"</f>
        <v>000601</v>
      </c>
      <c r="E807" s="4" t="str">
        <f t="shared" ref="E807:E811" si="529">"韶能股份"</f>
        <v>韶能股份</v>
      </c>
      <c r="F807" s="4">
        <v>7.34</v>
      </c>
      <c r="G807" s="4">
        <v>2700</v>
      </c>
      <c r="H807" s="4">
        <v>19818</v>
      </c>
      <c r="I807" s="12">
        <v>-19824.14</v>
      </c>
      <c r="J807" s="4">
        <v>598.54</v>
      </c>
      <c r="K807" s="4">
        <v>22100</v>
      </c>
    </row>
    <row r="808" spans="1:11">
      <c r="A808" s="4" t="str">
        <f t="shared" ref="A808:A811" si="530">"20170510"</f>
        <v>20170510</v>
      </c>
      <c r="B808" s="4" t="str">
        <f t="shared" ref="B808:B811" si="531">"20170510"</f>
        <v>20170510</v>
      </c>
      <c r="C808" s="4" t="str">
        <f t="shared" si="526"/>
        <v>证券卖出</v>
      </c>
      <c r="D808" s="4" t="str">
        <f t="shared" si="528"/>
        <v>000601</v>
      </c>
      <c r="E808" s="4" t="str">
        <f t="shared" si="529"/>
        <v>韶能股份</v>
      </c>
      <c r="F808" s="4">
        <v>7.5</v>
      </c>
      <c r="G808" s="4">
        <v>2700</v>
      </c>
      <c r="H808" s="4">
        <v>20250</v>
      </c>
      <c r="I808" s="12">
        <v>20223.47</v>
      </c>
      <c r="J808" s="4">
        <v>20822.01</v>
      </c>
      <c r="K808" s="4">
        <v>19400</v>
      </c>
    </row>
    <row r="809" spans="1:11">
      <c r="A809" s="4" t="str">
        <f t="shared" si="530"/>
        <v>20170510</v>
      </c>
      <c r="B809" s="4" t="str">
        <f t="shared" si="531"/>
        <v>20170510</v>
      </c>
      <c r="C809" s="4" t="str">
        <f t="shared" si="527"/>
        <v>证券买入</v>
      </c>
      <c r="D809" s="4" t="str">
        <f t="shared" si="528"/>
        <v>000601</v>
      </c>
      <c r="E809" s="4" t="str">
        <f t="shared" si="529"/>
        <v>韶能股份</v>
      </c>
      <c r="F809" s="4">
        <v>7.46</v>
      </c>
      <c r="G809" s="4">
        <v>2700</v>
      </c>
      <c r="H809" s="4">
        <v>20142</v>
      </c>
      <c r="I809" s="12">
        <v>-20148.24</v>
      </c>
      <c r="J809" s="4">
        <v>673.77</v>
      </c>
      <c r="K809" s="4">
        <v>22100</v>
      </c>
    </row>
    <row r="810" spans="1:11">
      <c r="A810" s="4" t="str">
        <f t="shared" si="530"/>
        <v>20170510</v>
      </c>
      <c r="B810" s="4" t="str">
        <f t="shared" si="531"/>
        <v>20170510</v>
      </c>
      <c r="C810" s="4" t="str">
        <f t="shared" si="526"/>
        <v>证券卖出</v>
      </c>
      <c r="D810" s="4" t="str">
        <f t="shared" si="528"/>
        <v>000601</v>
      </c>
      <c r="E810" s="4" t="str">
        <f t="shared" si="529"/>
        <v>韶能股份</v>
      </c>
      <c r="F810" s="4">
        <v>7.39</v>
      </c>
      <c r="G810" s="4">
        <v>2700</v>
      </c>
      <c r="H810" s="4">
        <v>19953</v>
      </c>
      <c r="I810" s="12">
        <v>19926.86</v>
      </c>
      <c r="J810" s="4">
        <v>20600.63</v>
      </c>
      <c r="K810" s="4">
        <v>19400</v>
      </c>
    </row>
    <row r="811" spans="1:11">
      <c r="A811" s="4" t="str">
        <f t="shared" si="530"/>
        <v>20170510</v>
      </c>
      <c r="B811" s="4" t="str">
        <f t="shared" si="531"/>
        <v>20170510</v>
      </c>
      <c r="C811" s="4" t="str">
        <f t="shared" si="527"/>
        <v>证券买入</v>
      </c>
      <c r="D811" s="4" t="str">
        <f t="shared" si="528"/>
        <v>000601</v>
      </c>
      <c r="E811" s="4" t="str">
        <f t="shared" si="529"/>
        <v>韶能股份</v>
      </c>
      <c r="F811" s="4">
        <v>7.31</v>
      </c>
      <c r="G811" s="4">
        <v>2800</v>
      </c>
      <c r="H811" s="4">
        <v>20468</v>
      </c>
      <c r="I811" s="12">
        <v>-20474.35</v>
      </c>
      <c r="J811" s="4">
        <v>126.28</v>
      </c>
      <c r="K811" s="4">
        <v>22200</v>
      </c>
    </row>
    <row r="812" spans="1:11">
      <c r="A812" s="4" t="str">
        <f>"20170602"</f>
        <v>20170602</v>
      </c>
      <c r="B812" s="4" t="str">
        <f>"20170602"</f>
        <v>20170602</v>
      </c>
      <c r="C812" s="4" t="str">
        <f>"红利入账"</f>
        <v>红利入账</v>
      </c>
      <c r="D812" s="4" t="str">
        <f>"002183"</f>
        <v>002183</v>
      </c>
      <c r="E812" s="4" t="str">
        <f>"怡 亚 通"</f>
        <v>怡 亚 通</v>
      </c>
      <c r="F812" s="4">
        <v>0</v>
      </c>
      <c r="G812" s="4">
        <v>0</v>
      </c>
      <c r="H812" s="4">
        <v>400</v>
      </c>
      <c r="I812" s="12">
        <v>400</v>
      </c>
      <c r="J812" s="4">
        <v>526.28</v>
      </c>
      <c r="K812" s="4">
        <v>0</v>
      </c>
    </row>
    <row r="813" spans="1:11">
      <c r="A813" s="4" t="str">
        <f t="shared" ref="A813:A815" si="532">"20170615"</f>
        <v>20170615</v>
      </c>
      <c r="B813" s="4" t="str">
        <f t="shared" ref="B813:B815" si="533">"20170615"</f>
        <v>20170615</v>
      </c>
      <c r="C813" s="4" t="str">
        <f>"银行转证券"</f>
        <v>银行转证券</v>
      </c>
      <c r="D813" s="4"/>
      <c r="E813" s="4"/>
      <c r="F813" s="4">
        <v>0</v>
      </c>
      <c r="G813" s="4">
        <v>0</v>
      </c>
      <c r="H813" s="4">
        <v>0</v>
      </c>
      <c r="I813" s="12">
        <v>20318.17</v>
      </c>
      <c r="J813" s="4">
        <v>20844.45</v>
      </c>
      <c r="K813" s="4">
        <v>0</v>
      </c>
    </row>
    <row r="814" spans="1:11">
      <c r="A814" s="4" t="str">
        <f t="shared" si="532"/>
        <v>20170615</v>
      </c>
      <c r="B814" s="4" t="str">
        <f t="shared" si="533"/>
        <v>20170615</v>
      </c>
      <c r="C814" s="4" t="str">
        <f>"基金申购拨出"</f>
        <v>基金申购拨出</v>
      </c>
      <c r="D814" s="4" t="str">
        <f>"AA0007"</f>
        <v>AA0007</v>
      </c>
      <c r="E814" s="4" t="str">
        <f>"银河水星1号集合"</f>
        <v>银河水星1号集合</v>
      </c>
      <c r="F814" s="4">
        <v>0</v>
      </c>
      <c r="G814" s="4">
        <v>0</v>
      </c>
      <c r="H814" s="4">
        <v>0</v>
      </c>
      <c r="I814" s="12">
        <v>-5138.45</v>
      </c>
      <c r="J814" s="4">
        <v>15706</v>
      </c>
      <c r="K814" s="4">
        <v>0</v>
      </c>
    </row>
    <row r="815" spans="1:11">
      <c r="A815" s="4" t="str">
        <f t="shared" si="532"/>
        <v>20170615</v>
      </c>
      <c r="B815" s="4" t="str">
        <f t="shared" si="533"/>
        <v>20170615</v>
      </c>
      <c r="C815" s="4" t="str">
        <f>"证券买入"</f>
        <v>证券买入</v>
      </c>
      <c r="D815" s="4" t="str">
        <f t="shared" ref="D815:D818" si="534">"150182"</f>
        <v>150182</v>
      </c>
      <c r="E815" s="4" t="str">
        <f t="shared" ref="E815:E818" si="535">"军工B"</f>
        <v>军工B</v>
      </c>
      <c r="F815" s="4">
        <v>0.785</v>
      </c>
      <c r="G815" s="4">
        <v>20000</v>
      </c>
      <c r="H815" s="4">
        <v>15700</v>
      </c>
      <c r="I815" s="12">
        <v>-15705</v>
      </c>
      <c r="J815" s="4">
        <v>1</v>
      </c>
      <c r="K815" s="4">
        <v>20000</v>
      </c>
    </row>
    <row r="816" spans="1:11">
      <c r="A816" s="4" t="str">
        <f t="shared" ref="A816:A818" si="536">"20170619"</f>
        <v>20170619</v>
      </c>
      <c r="B816" s="4" t="str">
        <f t="shared" ref="B816:B818" si="537">"20170619"</f>
        <v>20170619</v>
      </c>
      <c r="C816" s="4" t="str">
        <f>"基金申购拨出"</f>
        <v>基金申购拨出</v>
      </c>
      <c r="D816" s="4" t="str">
        <f>"AA0007"</f>
        <v>AA0007</v>
      </c>
      <c r="E816" s="4" t="str">
        <f>"银河水星1号集合"</f>
        <v>银河水星1号集合</v>
      </c>
      <c r="F816" s="4">
        <v>0</v>
      </c>
      <c r="G816" s="4">
        <v>0</v>
      </c>
      <c r="H816" s="4">
        <v>0</v>
      </c>
      <c r="I816" s="12">
        <v>-11385.2</v>
      </c>
      <c r="J816" s="4">
        <v>-11384.2</v>
      </c>
      <c r="K816" s="4">
        <v>0</v>
      </c>
    </row>
    <row r="817" spans="1:11">
      <c r="A817" s="4" t="str">
        <f t="shared" si="536"/>
        <v>20170619</v>
      </c>
      <c r="B817" s="4" t="str">
        <f t="shared" si="537"/>
        <v>20170619</v>
      </c>
      <c r="C817" s="4" t="str">
        <f>"证券买入"</f>
        <v>证券买入</v>
      </c>
      <c r="D817" s="4" t="str">
        <f t="shared" si="534"/>
        <v>150182</v>
      </c>
      <c r="E817" s="4" t="str">
        <f t="shared" si="535"/>
        <v>军工B</v>
      </c>
      <c r="F817" s="4">
        <v>0.827</v>
      </c>
      <c r="G817" s="4">
        <v>6100</v>
      </c>
      <c r="H817" s="4">
        <v>5044.7</v>
      </c>
      <c r="I817" s="12">
        <v>-5049.7</v>
      </c>
      <c r="J817" s="4">
        <v>-16433.9</v>
      </c>
      <c r="K817" s="4">
        <v>26100</v>
      </c>
    </row>
    <row r="818" spans="1:11">
      <c r="A818" s="4" t="str">
        <f t="shared" si="536"/>
        <v>20170619</v>
      </c>
      <c r="B818" s="4" t="str">
        <f t="shared" si="537"/>
        <v>20170619</v>
      </c>
      <c r="C818" s="4" t="str">
        <f>"证券卖出"</f>
        <v>证券卖出</v>
      </c>
      <c r="D818" s="4" t="str">
        <f t="shared" si="534"/>
        <v>150182</v>
      </c>
      <c r="E818" s="4" t="str">
        <f t="shared" si="535"/>
        <v>军工B</v>
      </c>
      <c r="F818" s="4">
        <v>0.822</v>
      </c>
      <c r="G818" s="4">
        <v>20000</v>
      </c>
      <c r="H818" s="4">
        <v>16440</v>
      </c>
      <c r="I818" s="12">
        <v>16434.9</v>
      </c>
      <c r="J818" s="4">
        <v>1</v>
      </c>
      <c r="K818" s="4">
        <v>6100</v>
      </c>
    </row>
    <row r="819" spans="1:11">
      <c r="A819" s="4" t="str">
        <f t="shared" ref="A819:A821" si="538">"20170620"</f>
        <v>20170620</v>
      </c>
      <c r="B819" s="4" t="str">
        <f t="shared" ref="B819:B821" si="539">"20170620"</f>
        <v>20170620</v>
      </c>
      <c r="C819" s="4" t="str">
        <f>"利息归本"</f>
        <v>利息归本</v>
      </c>
      <c r="D819" s="4"/>
      <c r="E819" s="4"/>
      <c r="F819" s="4">
        <v>0</v>
      </c>
      <c r="G819" s="4">
        <v>0</v>
      </c>
      <c r="H819" s="4">
        <v>0</v>
      </c>
      <c r="I819" s="12">
        <v>2.18</v>
      </c>
      <c r="J819" s="4">
        <v>3.18</v>
      </c>
      <c r="K819" s="4">
        <v>0</v>
      </c>
    </row>
    <row r="820" spans="1:11">
      <c r="A820" s="4" t="str">
        <f t="shared" si="538"/>
        <v>20170620</v>
      </c>
      <c r="B820" s="4" t="str">
        <f t="shared" si="539"/>
        <v>20170620</v>
      </c>
      <c r="C820" s="4" t="str">
        <f>"基金申购拨出"</f>
        <v>基金申购拨出</v>
      </c>
      <c r="D820" s="4" t="str">
        <f t="shared" ref="D820:D823" si="540">"AA0007"</f>
        <v>AA0007</v>
      </c>
      <c r="E820" s="4" t="str">
        <f t="shared" ref="E820:E823" si="541">"银河水星1号集合"</f>
        <v>银河水星1号集合</v>
      </c>
      <c r="F820" s="4">
        <v>0</v>
      </c>
      <c r="G820" s="4">
        <v>0</v>
      </c>
      <c r="H820" s="4">
        <v>0</v>
      </c>
      <c r="I820" s="12">
        <v>-5015.3</v>
      </c>
      <c r="J820" s="4">
        <v>-5012.12</v>
      </c>
      <c r="K820" s="4">
        <v>0</v>
      </c>
    </row>
    <row r="821" spans="1:11">
      <c r="A821" s="4" t="str">
        <f t="shared" si="538"/>
        <v>20170620</v>
      </c>
      <c r="B821" s="4" t="str">
        <f t="shared" si="539"/>
        <v>20170620</v>
      </c>
      <c r="C821" s="4" t="str">
        <f>"证券卖出"</f>
        <v>证券卖出</v>
      </c>
      <c r="D821" s="4" t="str">
        <f t="shared" ref="D821:D826" si="542">"150182"</f>
        <v>150182</v>
      </c>
      <c r="E821" s="4" t="str">
        <f t="shared" ref="E821:E826" si="543">"军工B"</f>
        <v>军工B</v>
      </c>
      <c r="F821" s="4">
        <v>0.823</v>
      </c>
      <c r="G821" s="4">
        <v>6100</v>
      </c>
      <c r="H821" s="4">
        <v>5020.3</v>
      </c>
      <c r="I821" s="12">
        <v>5015.3</v>
      </c>
      <c r="J821" s="4">
        <v>3.18</v>
      </c>
      <c r="K821" s="4">
        <v>0</v>
      </c>
    </row>
    <row r="822" spans="1:11">
      <c r="A822" s="4" t="str">
        <f>"20170622"</f>
        <v>20170622</v>
      </c>
      <c r="B822" s="4" t="str">
        <f>"0"</f>
        <v>0</v>
      </c>
      <c r="C822" s="4" t="str">
        <f>"基金红利拨入"</f>
        <v>基金红利拨入</v>
      </c>
      <c r="D822" s="4" t="str">
        <f t="shared" si="540"/>
        <v>AA0007</v>
      </c>
      <c r="E822" s="4" t="str">
        <f t="shared" si="541"/>
        <v>银河水星1号集合</v>
      </c>
      <c r="F822" s="4">
        <v>0</v>
      </c>
      <c r="G822" s="4">
        <v>0</v>
      </c>
      <c r="H822" s="4">
        <v>109.59</v>
      </c>
      <c r="I822" s="12">
        <v>109.59</v>
      </c>
      <c r="J822" s="4">
        <v>112.77</v>
      </c>
      <c r="K822" s="4">
        <v>0</v>
      </c>
    </row>
    <row r="823" spans="1:11">
      <c r="A823" s="4" t="str">
        <f>"20170623"</f>
        <v>20170623</v>
      </c>
      <c r="B823" s="4" t="str">
        <f>"20170623"</f>
        <v>20170623</v>
      </c>
      <c r="C823" s="4" t="str">
        <f>"基金赎回拨入"</f>
        <v>基金赎回拨入</v>
      </c>
      <c r="D823" s="4" t="str">
        <f t="shared" si="540"/>
        <v>AA0007</v>
      </c>
      <c r="E823" s="4" t="str">
        <f t="shared" si="541"/>
        <v>银河水星1号集合</v>
      </c>
      <c r="F823" s="4">
        <v>0</v>
      </c>
      <c r="G823" s="4">
        <v>15773</v>
      </c>
      <c r="H823" s="4">
        <v>0</v>
      </c>
      <c r="I823" s="12">
        <v>15773.23</v>
      </c>
      <c r="J823" s="4">
        <v>15886</v>
      </c>
      <c r="K823" s="4">
        <v>0</v>
      </c>
    </row>
    <row r="824" spans="1:11">
      <c r="A824" s="4" t="str">
        <f>"20170623"</f>
        <v>20170623</v>
      </c>
      <c r="B824" s="4" t="str">
        <f>"20170623"</f>
        <v>20170623</v>
      </c>
      <c r="C824" s="4" t="str">
        <f>"证券买入"</f>
        <v>证券买入</v>
      </c>
      <c r="D824" s="4" t="str">
        <f t="shared" si="542"/>
        <v>150182</v>
      </c>
      <c r="E824" s="4" t="str">
        <f t="shared" si="543"/>
        <v>军工B</v>
      </c>
      <c r="F824" s="4">
        <v>0.794</v>
      </c>
      <c r="G824" s="4">
        <v>20000</v>
      </c>
      <c r="H824" s="4">
        <v>15880</v>
      </c>
      <c r="I824" s="12">
        <v>-15885</v>
      </c>
      <c r="J824" s="4">
        <v>1</v>
      </c>
      <c r="K824" s="4">
        <v>20000</v>
      </c>
    </row>
    <row r="825" spans="1:11">
      <c r="A825" s="4" t="str">
        <f>"20170626"</f>
        <v>20170626</v>
      </c>
      <c r="B825" s="4" t="str">
        <f>"20170626"</f>
        <v>20170626</v>
      </c>
      <c r="C825" s="4" t="str">
        <f>"基金申购拨出"</f>
        <v>基金申购拨出</v>
      </c>
      <c r="D825" s="4" t="str">
        <f t="shared" ref="D825:D831" si="544">"AA0007"</f>
        <v>AA0007</v>
      </c>
      <c r="E825" s="4" t="str">
        <f t="shared" ref="E825:E831" si="545">"银河水星1号集合"</f>
        <v>银河水星1号集合</v>
      </c>
      <c r="F825" s="4">
        <v>0</v>
      </c>
      <c r="G825" s="4">
        <v>0</v>
      </c>
      <c r="H825" s="4">
        <v>0</v>
      </c>
      <c r="I825" s="12">
        <v>-16374.92</v>
      </c>
      <c r="J825" s="4">
        <v>-16373.92</v>
      </c>
      <c r="K825" s="4">
        <v>0</v>
      </c>
    </row>
    <row r="826" spans="1:11">
      <c r="A826" s="4" t="str">
        <f>"20170626"</f>
        <v>20170626</v>
      </c>
      <c r="B826" s="4" t="str">
        <f>"20170626"</f>
        <v>20170626</v>
      </c>
      <c r="C826" s="4" t="str">
        <f>"证券卖出"</f>
        <v>证券卖出</v>
      </c>
      <c r="D826" s="4" t="str">
        <f t="shared" si="542"/>
        <v>150182</v>
      </c>
      <c r="E826" s="4" t="str">
        <f t="shared" si="543"/>
        <v>军工B</v>
      </c>
      <c r="F826" s="4">
        <v>0.819</v>
      </c>
      <c r="G826" s="4">
        <v>20000</v>
      </c>
      <c r="H826" s="4">
        <v>16380</v>
      </c>
      <c r="I826" s="12">
        <v>16374.92</v>
      </c>
      <c r="J826" s="4">
        <v>1</v>
      </c>
      <c r="K826" s="4">
        <v>0</v>
      </c>
    </row>
    <row r="827" spans="1:11">
      <c r="A827" s="4" t="str">
        <f>"20170629"</f>
        <v>20170629</v>
      </c>
      <c r="B827" s="4" t="str">
        <f>"20170629"</f>
        <v>20170629</v>
      </c>
      <c r="C827" s="4" t="str">
        <f>"基金赎回拨入"</f>
        <v>基金赎回拨入</v>
      </c>
      <c r="D827" s="4" t="str">
        <f t="shared" si="544"/>
        <v>AA0007</v>
      </c>
      <c r="E827" s="4" t="str">
        <f t="shared" si="545"/>
        <v>银河水星1号集合</v>
      </c>
      <c r="F827" s="4">
        <v>0</v>
      </c>
      <c r="G827" s="4">
        <v>22140</v>
      </c>
      <c r="H827" s="4">
        <v>0</v>
      </c>
      <c r="I827" s="12">
        <v>22140.64</v>
      </c>
      <c r="J827" s="4">
        <v>22141.64</v>
      </c>
      <c r="K827" s="4">
        <v>0</v>
      </c>
    </row>
    <row r="828" spans="1:11">
      <c r="A828" s="4" t="str">
        <f>"20170629"</f>
        <v>20170629</v>
      </c>
      <c r="B828" s="4" t="str">
        <f>"20170629"</f>
        <v>20170629</v>
      </c>
      <c r="C828" s="4" t="str">
        <f>"证券买入"</f>
        <v>证券买入</v>
      </c>
      <c r="D828" s="4" t="str">
        <f t="shared" ref="D828:D833" si="546">"000601"</f>
        <v>000601</v>
      </c>
      <c r="E828" s="4" t="str">
        <f t="shared" ref="E828:E833" si="547">"韶能股份"</f>
        <v>韶能股份</v>
      </c>
      <c r="F828" s="4">
        <v>7.16</v>
      </c>
      <c r="G828" s="4">
        <v>3000</v>
      </c>
      <c r="H828" s="4">
        <v>21480</v>
      </c>
      <c r="I828" s="12">
        <v>-21486.66</v>
      </c>
      <c r="J828" s="4">
        <v>654.98</v>
      </c>
      <c r="K828" s="4">
        <v>25200</v>
      </c>
    </row>
    <row r="829" spans="1:11">
      <c r="A829" s="4" t="str">
        <f>"20170704"</f>
        <v>20170704</v>
      </c>
      <c r="B829" s="4" t="str">
        <f>"20170704"</f>
        <v>20170704</v>
      </c>
      <c r="C829" s="4" t="str">
        <f>"红利入账"</f>
        <v>红利入账</v>
      </c>
      <c r="D829" s="4" t="str">
        <f>"600219"</f>
        <v>600219</v>
      </c>
      <c r="E829" s="4" t="str">
        <f>"南山铝业"</f>
        <v>南山铝业</v>
      </c>
      <c r="F829" s="4">
        <v>0</v>
      </c>
      <c r="G829" s="4">
        <v>11250</v>
      </c>
      <c r="H829" s="4">
        <v>562.5</v>
      </c>
      <c r="I829" s="12">
        <v>562.5</v>
      </c>
      <c r="J829" s="4">
        <v>1217.48</v>
      </c>
      <c r="K829" s="4">
        <v>0</v>
      </c>
    </row>
    <row r="830" spans="1:11">
      <c r="A830" s="4" t="str">
        <f>"20170705"</f>
        <v>20170705</v>
      </c>
      <c r="B830" s="4" t="str">
        <f>"20170705"</f>
        <v>20170705</v>
      </c>
      <c r="C830" s="4" t="str">
        <f>"基金申购拨出"</f>
        <v>基金申购拨出</v>
      </c>
      <c r="D830" s="4" t="str">
        <f t="shared" si="544"/>
        <v>AA0007</v>
      </c>
      <c r="E830" s="4" t="str">
        <f t="shared" si="545"/>
        <v>银河水星1号集合</v>
      </c>
      <c r="F830" s="4">
        <v>0</v>
      </c>
      <c r="G830" s="4">
        <v>0</v>
      </c>
      <c r="H830" s="4">
        <v>0</v>
      </c>
      <c r="I830" s="12">
        <v>-1217.48</v>
      </c>
      <c r="J830" s="4">
        <v>0</v>
      </c>
      <c r="K830" s="4">
        <v>0</v>
      </c>
    </row>
    <row r="831" spans="1:11">
      <c r="A831" s="4" t="str">
        <f t="shared" ref="A831:A834" si="548">"20170719"</f>
        <v>20170719</v>
      </c>
      <c r="B831" s="4" t="str">
        <f t="shared" ref="B831:B834" si="549">"20170719"</f>
        <v>20170719</v>
      </c>
      <c r="C831" s="4" t="str">
        <f>"基金申购拨出"</f>
        <v>基金申购拨出</v>
      </c>
      <c r="D831" s="4" t="str">
        <f t="shared" si="544"/>
        <v>AA0007</v>
      </c>
      <c r="E831" s="4" t="str">
        <f t="shared" si="545"/>
        <v>银河水星1号集合</v>
      </c>
      <c r="F831" s="4">
        <v>0</v>
      </c>
      <c r="G831" s="4">
        <v>0</v>
      </c>
      <c r="H831" s="4">
        <v>0</v>
      </c>
      <c r="I831" s="12">
        <v>-7405.39</v>
      </c>
      <c r="J831" s="4">
        <v>-7405.39</v>
      </c>
      <c r="K831" s="4">
        <v>0</v>
      </c>
    </row>
    <row r="832" spans="1:11">
      <c r="A832" s="4" t="str">
        <f t="shared" si="548"/>
        <v>20170719</v>
      </c>
      <c r="B832" s="4" t="str">
        <f t="shared" si="549"/>
        <v>20170719</v>
      </c>
      <c r="C832" s="4" t="str">
        <f>"红利入账"</f>
        <v>红利入账</v>
      </c>
      <c r="D832" s="4" t="str">
        <f t="shared" si="546"/>
        <v>000601</v>
      </c>
      <c r="E832" s="4" t="str">
        <f t="shared" si="547"/>
        <v>韶能股份</v>
      </c>
      <c r="F832" s="4">
        <v>0</v>
      </c>
      <c r="G832" s="4">
        <v>0</v>
      </c>
      <c r="H832" s="4">
        <v>4440</v>
      </c>
      <c r="I832" s="12">
        <v>4440</v>
      </c>
      <c r="J832" s="4">
        <v>-2965.39</v>
      </c>
      <c r="K832" s="4">
        <v>0</v>
      </c>
    </row>
    <row r="833" spans="1:11">
      <c r="A833" s="4" t="str">
        <f t="shared" si="548"/>
        <v>20170719</v>
      </c>
      <c r="B833" s="4" t="str">
        <f t="shared" si="549"/>
        <v>20170719</v>
      </c>
      <c r="C833" s="4" t="str">
        <f>"证券卖出"</f>
        <v>证券卖出</v>
      </c>
      <c r="D833" s="4" t="str">
        <f t="shared" si="546"/>
        <v>000601</v>
      </c>
      <c r="E833" s="4" t="str">
        <f t="shared" si="547"/>
        <v>韶能股份</v>
      </c>
      <c r="F833" s="4">
        <v>7.28</v>
      </c>
      <c r="G833" s="4">
        <v>3000</v>
      </c>
      <c r="H833" s="4">
        <v>21840</v>
      </c>
      <c r="I833" s="12">
        <v>21811.39</v>
      </c>
      <c r="J833" s="4">
        <v>18846</v>
      </c>
      <c r="K833" s="4">
        <v>22200</v>
      </c>
    </row>
    <row r="834" spans="1:11">
      <c r="A834" s="4" t="str">
        <f t="shared" si="548"/>
        <v>20170719</v>
      </c>
      <c r="B834" s="4" t="str">
        <f t="shared" si="549"/>
        <v>20170719</v>
      </c>
      <c r="C834" s="4" t="str">
        <f t="shared" ref="C834:C838" si="550">"证券买入"</f>
        <v>证券买入</v>
      </c>
      <c r="D834" s="4" t="str">
        <f t="shared" ref="D834:D838" si="551">"150182"</f>
        <v>150182</v>
      </c>
      <c r="E834" s="4" t="str">
        <f t="shared" ref="E834:E838" si="552">"军工B"</f>
        <v>军工B</v>
      </c>
      <c r="F834" s="4">
        <v>0.72</v>
      </c>
      <c r="G834" s="4">
        <v>20000</v>
      </c>
      <c r="H834" s="4">
        <v>14400</v>
      </c>
      <c r="I834" s="12">
        <v>-14405</v>
      </c>
      <c r="J834" s="4">
        <v>4441</v>
      </c>
      <c r="K834" s="4">
        <v>20000</v>
      </c>
    </row>
    <row r="835" spans="1:11">
      <c r="A835" s="4" t="str">
        <f>"20170720"</f>
        <v>20170720</v>
      </c>
      <c r="B835" s="4" t="str">
        <f>"20170720"</f>
        <v>20170720</v>
      </c>
      <c r="C835" s="4" t="str">
        <f>"基金赎回拨入"</f>
        <v>基金赎回拨入</v>
      </c>
      <c r="D835" s="4" t="str">
        <f>"AA0007"</f>
        <v>AA0007</v>
      </c>
      <c r="E835" s="4" t="str">
        <f>"银河水星1号集合"</f>
        <v>银河水星1号集合</v>
      </c>
      <c r="F835" s="4">
        <v>0</v>
      </c>
      <c r="G835" s="4">
        <v>5785</v>
      </c>
      <c r="H835" s="4">
        <v>0</v>
      </c>
      <c r="I835" s="12">
        <v>5785</v>
      </c>
      <c r="J835" s="4">
        <v>10226</v>
      </c>
      <c r="K835" s="4">
        <v>0</v>
      </c>
    </row>
    <row r="836" spans="1:11">
      <c r="A836" s="4" t="str">
        <f>"20170720"</f>
        <v>20170720</v>
      </c>
      <c r="B836" s="4" t="str">
        <f>"20170720"</f>
        <v>20170720</v>
      </c>
      <c r="C836" s="4" t="str">
        <f t="shared" si="550"/>
        <v>证券买入</v>
      </c>
      <c r="D836" s="4" t="str">
        <f>"150153"</f>
        <v>150153</v>
      </c>
      <c r="E836" s="4" t="str">
        <f>"创业板B"</f>
        <v>创业板B</v>
      </c>
      <c r="F836" s="4">
        <v>0.511</v>
      </c>
      <c r="G836" s="4">
        <v>20000</v>
      </c>
      <c r="H836" s="4">
        <v>10220</v>
      </c>
      <c r="I836" s="12">
        <v>-10225</v>
      </c>
      <c r="J836" s="4">
        <v>1</v>
      </c>
      <c r="K836" s="4">
        <v>20000</v>
      </c>
    </row>
    <row r="837" spans="1:11">
      <c r="A837" s="4" t="str">
        <f>"20170721"</f>
        <v>20170721</v>
      </c>
      <c r="B837" s="4" t="str">
        <f>"20170721"</f>
        <v>20170721</v>
      </c>
      <c r="C837" s="4" t="str">
        <f t="shared" ref="C837:C841" si="553">"证券卖出"</f>
        <v>证券卖出</v>
      </c>
      <c r="D837" s="4" t="str">
        <f t="shared" si="551"/>
        <v>150182</v>
      </c>
      <c r="E837" s="4" t="str">
        <f t="shared" si="552"/>
        <v>军工B</v>
      </c>
      <c r="F837" s="4">
        <v>0.752</v>
      </c>
      <c r="G837" s="4">
        <v>20000</v>
      </c>
      <c r="H837" s="4">
        <v>15040</v>
      </c>
      <c r="I837" s="12">
        <v>15035</v>
      </c>
      <c r="J837" s="4">
        <v>15036</v>
      </c>
      <c r="K837" s="4">
        <v>0</v>
      </c>
    </row>
    <row r="838" spans="1:11">
      <c r="A838" s="4" t="str">
        <f>"20170721"</f>
        <v>20170721</v>
      </c>
      <c r="B838" s="4" t="str">
        <f>"20170721"</f>
        <v>20170721</v>
      </c>
      <c r="C838" s="4" t="str">
        <f t="shared" si="550"/>
        <v>证券买入</v>
      </c>
      <c r="D838" s="4" t="str">
        <f t="shared" si="551"/>
        <v>150182</v>
      </c>
      <c r="E838" s="4" t="str">
        <f t="shared" si="552"/>
        <v>军工B</v>
      </c>
      <c r="F838" s="4">
        <v>0.748</v>
      </c>
      <c r="G838" s="4">
        <v>20000</v>
      </c>
      <c r="H838" s="4">
        <v>14960</v>
      </c>
      <c r="I838" s="12">
        <v>-14965</v>
      </c>
      <c r="J838" s="4">
        <v>71</v>
      </c>
      <c r="K838" s="4">
        <v>20000</v>
      </c>
    </row>
    <row r="839" spans="1:11">
      <c r="A839" s="4" t="str">
        <f t="shared" ref="A839:A841" si="554">"20170724"</f>
        <v>20170724</v>
      </c>
      <c r="B839" s="4" t="str">
        <f t="shared" ref="B839:B841" si="555">"20170724"</f>
        <v>20170724</v>
      </c>
      <c r="C839" s="4" t="str">
        <f>"基金申购拨出"</f>
        <v>基金申购拨出</v>
      </c>
      <c r="D839" s="4" t="str">
        <f t="shared" ref="D839:D844" si="556">"AA0007"</f>
        <v>AA0007</v>
      </c>
      <c r="E839" s="4" t="str">
        <f t="shared" ref="E839:E844" si="557">"银河水星1号集合"</f>
        <v>银河水星1号集合</v>
      </c>
      <c r="F839" s="4">
        <v>0</v>
      </c>
      <c r="G839" s="4">
        <v>0</v>
      </c>
      <c r="H839" s="4">
        <v>0</v>
      </c>
      <c r="I839" s="12">
        <v>-24680</v>
      </c>
      <c r="J839" s="4">
        <v>-24609</v>
      </c>
      <c r="K839" s="4">
        <v>0</v>
      </c>
    </row>
    <row r="840" spans="1:11">
      <c r="A840" s="4" t="str">
        <f t="shared" si="554"/>
        <v>20170724</v>
      </c>
      <c r="B840" s="4" t="str">
        <f t="shared" si="555"/>
        <v>20170724</v>
      </c>
      <c r="C840" s="4" t="str">
        <f t="shared" si="553"/>
        <v>证券卖出</v>
      </c>
      <c r="D840" s="4" t="str">
        <f>"150153"</f>
        <v>150153</v>
      </c>
      <c r="E840" s="4" t="str">
        <f>"创业板B"</f>
        <v>创业板B</v>
      </c>
      <c r="F840" s="4">
        <v>0.486</v>
      </c>
      <c r="G840" s="4">
        <v>20000</v>
      </c>
      <c r="H840" s="4">
        <v>9720</v>
      </c>
      <c r="I840" s="12">
        <v>9715</v>
      </c>
      <c r="J840" s="4">
        <v>-14894</v>
      </c>
      <c r="K840" s="4">
        <v>0</v>
      </c>
    </row>
    <row r="841" spans="1:11">
      <c r="A841" s="4" t="str">
        <f t="shared" si="554"/>
        <v>20170724</v>
      </c>
      <c r="B841" s="4" t="str">
        <f t="shared" si="555"/>
        <v>20170724</v>
      </c>
      <c r="C841" s="4" t="str">
        <f t="shared" si="553"/>
        <v>证券卖出</v>
      </c>
      <c r="D841" s="4" t="str">
        <f>"150182"</f>
        <v>150182</v>
      </c>
      <c r="E841" s="4" t="str">
        <f>"军工B"</f>
        <v>军工B</v>
      </c>
      <c r="F841" s="4">
        <v>0.745</v>
      </c>
      <c r="G841" s="4">
        <v>20000</v>
      </c>
      <c r="H841" s="4">
        <v>14900</v>
      </c>
      <c r="I841" s="12">
        <v>14895</v>
      </c>
      <c r="J841" s="4">
        <v>1</v>
      </c>
      <c r="K841" s="4">
        <v>0</v>
      </c>
    </row>
    <row r="842" spans="1:11">
      <c r="A842" s="4" t="str">
        <f>"20170725"</f>
        <v>20170725</v>
      </c>
      <c r="B842" s="4" t="str">
        <f>"20170725"</f>
        <v>20170725</v>
      </c>
      <c r="C842" s="4" t="str">
        <f>"基金赎回拨入"</f>
        <v>基金赎回拨入</v>
      </c>
      <c r="D842" s="4" t="str">
        <f t="shared" si="556"/>
        <v>AA0007</v>
      </c>
      <c r="E842" s="4" t="str">
        <f t="shared" si="557"/>
        <v>银河水星1号集合</v>
      </c>
      <c r="F842" s="4">
        <v>0</v>
      </c>
      <c r="G842" s="4">
        <v>15665</v>
      </c>
      <c r="H842" s="4">
        <v>0</v>
      </c>
      <c r="I842" s="12">
        <v>15665</v>
      </c>
      <c r="J842" s="4">
        <v>15666</v>
      </c>
      <c r="K842" s="4">
        <v>0</v>
      </c>
    </row>
    <row r="843" spans="1:11">
      <c r="A843" s="4" t="str">
        <f>"20170725"</f>
        <v>20170725</v>
      </c>
      <c r="B843" s="4" t="str">
        <f>"20170725"</f>
        <v>20170725</v>
      </c>
      <c r="C843" s="4" t="str">
        <f>"证券买入"</f>
        <v>证券买入</v>
      </c>
      <c r="D843" s="4" t="str">
        <f>"150182"</f>
        <v>150182</v>
      </c>
      <c r="E843" s="4" t="str">
        <f>"军工B"</f>
        <v>军工B</v>
      </c>
      <c r="F843" s="4">
        <v>0.783</v>
      </c>
      <c r="G843" s="4">
        <v>20000</v>
      </c>
      <c r="H843" s="4">
        <v>15660</v>
      </c>
      <c r="I843" s="12">
        <v>-15665</v>
      </c>
      <c r="J843" s="4">
        <v>1</v>
      </c>
      <c r="K843" s="4">
        <v>20000</v>
      </c>
    </row>
    <row r="844" spans="1:11">
      <c r="A844" s="4" t="str">
        <f>"20170726"</f>
        <v>20170726</v>
      </c>
      <c r="B844" s="4" t="str">
        <f>"20170726"</f>
        <v>20170726</v>
      </c>
      <c r="C844" s="4" t="str">
        <f>"基金赎回拨入"</f>
        <v>基金赎回拨入</v>
      </c>
      <c r="D844" s="4" t="str">
        <f t="shared" si="556"/>
        <v>AA0007</v>
      </c>
      <c r="E844" s="4" t="str">
        <f t="shared" si="557"/>
        <v>银河水星1号集合</v>
      </c>
      <c r="F844" s="4">
        <v>0</v>
      </c>
      <c r="G844" s="4">
        <v>11852</v>
      </c>
      <c r="H844" s="4">
        <v>0</v>
      </c>
      <c r="I844" s="12">
        <v>11852.87</v>
      </c>
      <c r="J844" s="4">
        <v>11853.87</v>
      </c>
      <c r="K844" s="4">
        <v>0</v>
      </c>
    </row>
    <row r="845" spans="1:11">
      <c r="A845" s="4" t="str">
        <f>"20170726"</f>
        <v>20170726</v>
      </c>
      <c r="B845" s="4" t="str">
        <f>"20170726"</f>
        <v>20170726</v>
      </c>
      <c r="C845" s="4" t="str">
        <f>"证券买入"</f>
        <v>证券买入</v>
      </c>
      <c r="D845" s="4" t="str">
        <f>"150197"</f>
        <v>150197</v>
      </c>
      <c r="E845" s="4" t="str">
        <f>"有色B"</f>
        <v>有色B</v>
      </c>
      <c r="F845" s="4">
        <v>1.208</v>
      </c>
      <c r="G845" s="4">
        <v>9800</v>
      </c>
      <c r="H845" s="4">
        <v>11838.4</v>
      </c>
      <c r="I845" s="12">
        <v>-11843.4</v>
      </c>
      <c r="J845" s="4">
        <v>10.47</v>
      </c>
      <c r="K845" s="4">
        <v>9800</v>
      </c>
    </row>
    <row r="846" spans="1:11">
      <c r="A846" s="4" t="str">
        <f>"20170727"</f>
        <v>20170727</v>
      </c>
      <c r="B846" s="4" t="str">
        <f>"20170727"</f>
        <v>20170727</v>
      </c>
      <c r="C846" s="4" t="str">
        <f>"基金申购拨出"</f>
        <v>基金申购拨出</v>
      </c>
      <c r="D846" s="4" t="str">
        <f t="shared" ref="D846:D850" si="558">"AA0007"</f>
        <v>AA0007</v>
      </c>
      <c r="E846" s="4" t="str">
        <f t="shared" ref="E846:E850" si="559">"银河水星1号集合"</f>
        <v>银河水星1号集合</v>
      </c>
      <c r="F846" s="4">
        <v>0</v>
      </c>
      <c r="G846" s="4">
        <v>0</v>
      </c>
      <c r="H846" s="4">
        <v>0</v>
      </c>
      <c r="I846" s="12">
        <v>-11882.07</v>
      </c>
      <c r="J846" s="4">
        <v>-11871.6</v>
      </c>
      <c r="K846" s="4">
        <v>0</v>
      </c>
    </row>
    <row r="847" spans="1:11">
      <c r="A847" s="4" t="str">
        <f>"20170727"</f>
        <v>20170727</v>
      </c>
      <c r="B847" s="4" t="str">
        <f>"20170727"</f>
        <v>20170727</v>
      </c>
      <c r="C847" s="4" t="str">
        <f t="shared" ref="C847:C852" si="560">"证券卖出"</f>
        <v>证券卖出</v>
      </c>
      <c r="D847" s="4" t="str">
        <f>"150197"</f>
        <v>150197</v>
      </c>
      <c r="E847" s="4" t="str">
        <f>"有色B"</f>
        <v>有色B</v>
      </c>
      <c r="F847" s="4">
        <v>1.212</v>
      </c>
      <c r="G847" s="4">
        <v>9800</v>
      </c>
      <c r="H847" s="4">
        <v>11877.6</v>
      </c>
      <c r="I847" s="12">
        <v>11872.6</v>
      </c>
      <c r="J847" s="4">
        <v>1</v>
      </c>
      <c r="K847" s="4">
        <v>0</v>
      </c>
    </row>
    <row r="848" spans="1:11">
      <c r="A848" s="4" t="str">
        <f>"20170728"</f>
        <v>20170728</v>
      </c>
      <c r="B848" s="4" t="str">
        <f>"20170728"</f>
        <v>20170728</v>
      </c>
      <c r="C848" s="4" t="str">
        <f>"基金申购拨出"</f>
        <v>基金申购拨出</v>
      </c>
      <c r="D848" s="4" t="str">
        <f t="shared" si="558"/>
        <v>AA0007</v>
      </c>
      <c r="E848" s="4" t="str">
        <f t="shared" si="559"/>
        <v>银河水星1号集合</v>
      </c>
      <c r="F848" s="4">
        <v>0</v>
      </c>
      <c r="G848" s="4">
        <v>0</v>
      </c>
      <c r="H848" s="4">
        <v>0</v>
      </c>
      <c r="I848" s="12">
        <v>-16075</v>
      </c>
      <c r="J848" s="4">
        <v>-16074</v>
      </c>
      <c r="K848" s="4">
        <v>0</v>
      </c>
    </row>
    <row r="849" spans="1:11">
      <c r="A849" s="4" t="str">
        <f>"20170728"</f>
        <v>20170728</v>
      </c>
      <c r="B849" s="4" t="str">
        <f>"20170728"</f>
        <v>20170728</v>
      </c>
      <c r="C849" s="4" t="str">
        <f t="shared" si="560"/>
        <v>证券卖出</v>
      </c>
      <c r="D849" s="4" t="str">
        <f t="shared" ref="D849:D852" si="561">"150182"</f>
        <v>150182</v>
      </c>
      <c r="E849" s="4" t="str">
        <f t="shared" ref="E849:E852" si="562">"军工B"</f>
        <v>军工B</v>
      </c>
      <c r="F849" s="4">
        <v>0.804</v>
      </c>
      <c r="G849" s="4">
        <v>20000</v>
      </c>
      <c r="H849" s="4">
        <v>16080</v>
      </c>
      <c r="I849" s="12">
        <v>16075</v>
      </c>
      <c r="J849" s="4">
        <v>1</v>
      </c>
      <c r="K849" s="4">
        <v>0</v>
      </c>
    </row>
    <row r="850" spans="1:11">
      <c r="A850" s="4" t="str">
        <f>"20170731"</f>
        <v>20170731</v>
      </c>
      <c r="B850" s="4" t="str">
        <f>"20170731"</f>
        <v>20170731</v>
      </c>
      <c r="C850" s="4" t="str">
        <f>"基金赎回拨入"</f>
        <v>基金赎回拨入</v>
      </c>
      <c r="D850" s="4" t="str">
        <f t="shared" si="558"/>
        <v>AA0007</v>
      </c>
      <c r="E850" s="4" t="str">
        <f t="shared" si="559"/>
        <v>银河水星1号集合</v>
      </c>
      <c r="F850" s="4">
        <v>0</v>
      </c>
      <c r="G850" s="4">
        <v>15565</v>
      </c>
      <c r="H850" s="4">
        <v>0</v>
      </c>
      <c r="I850" s="12">
        <v>15565</v>
      </c>
      <c r="J850" s="4">
        <v>15566</v>
      </c>
      <c r="K850" s="4">
        <v>0</v>
      </c>
    </row>
    <row r="851" spans="1:11">
      <c r="A851" s="4" t="str">
        <f>"20170731"</f>
        <v>20170731</v>
      </c>
      <c r="B851" s="4" t="str">
        <f>"20170731"</f>
        <v>20170731</v>
      </c>
      <c r="C851" s="4" t="str">
        <f t="shared" ref="C851:C855" si="563">"证券买入"</f>
        <v>证券买入</v>
      </c>
      <c r="D851" s="4" t="str">
        <f t="shared" si="561"/>
        <v>150182</v>
      </c>
      <c r="E851" s="4" t="str">
        <f t="shared" si="562"/>
        <v>军工B</v>
      </c>
      <c r="F851" s="4">
        <v>0.778</v>
      </c>
      <c r="G851" s="4">
        <v>20000</v>
      </c>
      <c r="H851" s="4">
        <v>15560</v>
      </c>
      <c r="I851" s="12">
        <v>-15565</v>
      </c>
      <c r="J851" s="4">
        <v>1</v>
      </c>
      <c r="K851" s="4">
        <v>20000</v>
      </c>
    </row>
    <row r="852" spans="1:11">
      <c r="A852" s="4" t="str">
        <f t="shared" ref="A852:A855" si="564">"20170801"</f>
        <v>20170801</v>
      </c>
      <c r="B852" s="4" t="str">
        <f t="shared" ref="B852:B855" si="565">"20170801"</f>
        <v>20170801</v>
      </c>
      <c r="C852" s="4" t="str">
        <f t="shared" si="560"/>
        <v>证券卖出</v>
      </c>
      <c r="D852" s="4" t="str">
        <f t="shared" si="561"/>
        <v>150182</v>
      </c>
      <c r="E852" s="4" t="str">
        <f t="shared" si="562"/>
        <v>军工B</v>
      </c>
      <c r="F852" s="4">
        <v>0.782</v>
      </c>
      <c r="G852" s="4">
        <v>20000</v>
      </c>
      <c r="H852" s="4">
        <v>15640</v>
      </c>
      <c r="I852" s="12">
        <v>15635</v>
      </c>
      <c r="J852" s="4">
        <v>15636</v>
      </c>
      <c r="K852" s="4">
        <v>0</v>
      </c>
    </row>
    <row r="853" spans="1:11">
      <c r="A853" s="4" t="str">
        <f t="shared" si="564"/>
        <v>20170801</v>
      </c>
      <c r="B853" s="4" t="str">
        <f t="shared" si="565"/>
        <v>20170801</v>
      </c>
      <c r="C853" s="4" t="str">
        <f t="shared" si="563"/>
        <v>证券买入</v>
      </c>
      <c r="D853" s="4" t="str">
        <f>"002183"</f>
        <v>002183</v>
      </c>
      <c r="E853" s="4" t="str">
        <f>"怡 亚 通"</f>
        <v>怡 亚 通</v>
      </c>
      <c r="F853" s="4">
        <v>8.12</v>
      </c>
      <c r="G853" s="4">
        <v>3000</v>
      </c>
      <c r="H853" s="4">
        <v>24360</v>
      </c>
      <c r="I853" s="12">
        <v>-24367.55</v>
      </c>
      <c r="J853" s="4">
        <v>-8731.55</v>
      </c>
      <c r="K853" s="4">
        <v>8000</v>
      </c>
    </row>
    <row r="854" spans="1:11">
      <c r="A854" s="4" t="str">
        <f t="shared" si="564"/>
        <v>20170801</v>
      </c>
      <c r="B854" s="4" t="str">
        <f t="shared" si="565"/>
        <v>20170801</v>
      </c>
      <c r="C854" s="4" t="str">
        <f t="shared" ref="C854:C858" si="566">"证券卖出"</f>
        <v>证券卖出</v>
      </c>
      <c r="D854" s="4" t="str">
        <f>"002183"</f>
        <v>002183</v>
      </c>
      <c r="E854" s="4" t="str">
        <f>"怡 亚 通"</f>
        <v>怡 亚 通</v>
      </c>
      <c r="F854" s="4">
        <v>8.17</v>
      </c>
      <c r="G854" s="4">
        <v>3000</v>
      </c>
      <c r="H854" s="4">
        <v>24510</v>
      </c>
      <c r="I854" s="12">
        <v>24477.89</v>
      </c>
      <c r="J854" s="4">
        <v>15746.34</v>
      </c>
      <c r="K854" s="4">
        <v>5000</v>
      </c>
    </row>
    <row r="855" spans="1:11">
      <c r="A855" s="4" t="str">
        <f t="shared" si="564"/>
        <v>20170801</v>
      </c>
      <c r="B855" s="4" t="str">
        <f t="shared" si="565"/>
        <v>20170801</v>
      </c>
      <c r="C855" s="4" t="str">
        <f t="shared" si="563"/>
        <v>证券买入</v>
      </c>
      <c r="D855" s="4" t="str">
        <f>"150182"</f>
        <v>150182</v>
      </c>
      <c r="E855" s="4" t="str">
        <f>"军工B"</f>
        <v>军工B</v>
      </c>
      <c r="F855" s="4">
        <v>0.776</v>
      </c>
      <c r="G855" s="4">
        <v>20000</v>
      </c>
      <c r="H855" s="4">
        <v>15520</v>
      </c>
      <c r="I855" s="12">
        <v>-15525</v>
      </c>
      <c r="J855" s="4">
        <v>221.34</v>
      </c>
      <c r="K855" s="4">
        <v>20000</v>
      </c>
    </row>
    <row r="856" spans="1:11">
      <c r="A856" s="4" t="str">
        <f t="shared" ref="A856:A861" si="567">"20170802"</f>
        <v>20170802</v>
      </c>
      <c r="B856" s="4" t="str">
        <f t="shared" ref="B856:B861" si="568">"20170802"</f>
        <v>20170802</v>
      </c>
      <c r="C856" s="4" t="str">
        <f>"基金申购拨出"</f>
        <v>基金申购拨出</v>
      </c>
      <c r="D856" s="4" t="str">
        <f>"AA0007"</f>
        <v>AA0007</v>
      </c>
      <c r="E856" s="4" t="str">
        <f>"银河水星1号集合"</f>
        <v>银河水星1号集合</v>
      </c>
      <c r="F856" s="4">
        <v>0</v>
      </c>
      <c r="G856" s="4">
        <v>0</v>
      </c>
      <c r="H856" s="4">
        <v>0</v>
      </c>
      <c r="I856" s="12">
        <v>-26923.74</v>
      </c>
      <c r="J856" s="4">
        <v>-26702.4</v>
      </c>
      <c r="K856" s="4">
        <v>0</v>
      </c>
    </row>
    <row r="857" spans="1:11">
      <c r="A857" s="4" t="str">
        <f t="shared" si="567"/>
        <v>20170802</v>
      </c>
      <c r="B857" s="4" t="str">
        <f t="shared" si="568"/>
        <v>20170802</v>
      </c>
      <c r="C857" s="4" t="str">
        <f t="shared" si="566"/>
        <v>证券卖出</v>
      </c>
      <c r="D857" s="4" t="str">
        <f>"150182"</f>
        <v>150182</v>
      </c>
      <c r="E857" s="4" t="str">
        <f>"军工B"</f>
        <v>军工B</v>
      </c>
      <c r="F857" s="4">
        <v>0.767</v>
      </c>
      <c r="G857" s="4">
        <v>20000</v>
      </c>
      <c r="H857" s="4">
        <v>15340</v>
      </c>
      <c r="I857" s="12">
        <v>15335</v>
      </c>
      <c r="J857" s="4">
        <v>-11367.4</v>
      </c>
      <c r="K857" s="4">
        <v>0</v>
      </c>
    </row>
    <row r="858" spans="1:11">
      <c r="A858" s="4" t="str">
        <f t="shared" si="567"/>
        <v>20170802</v>
      </c>
      <c r="B858" s="4" t="str">
        <f t="shared" si="568"/>
        <v>20170802</v>
      </c>
      <c r="C858" s="4" t="str">
        <f t="shared" si="566"/>
        <v>证券卖出</v>
      </c>
      <c r="D858" s="4" t="str">
        <f t="shared" ref="D858:D860" si="569">"600219"</f>
        <v>600219</v>
      </c>
      <c r="E858" s="4" t="str">
        <f t="shared" ref="E858:E860" si="570">"南山铝业"</f>
        <v>南山铝业</v>
      </c>
      <c r="F858" s="4">
        <v>3.72</v>
      </c>
      <c r="G858" s="4">
        <v>5000</v>
      </c>
      <c r="H858" s="4">
        <v>18600</v>
      </c>
      <c r="I858" s="12">
        <v>18575.26</v>
      </c>
      <c r="J858" s="4">
        <v>7207.86</v>
      </c>
      <c r="K858" s="4">
        <v>6250</v>
      </c>
    </row>
    <row r="859" spans="1:11">
      <c r="A859" s="4" t="str">
        <f t="shared" si="567"/>
        <v>20170802</v>
      </c>
      <c r="B859" s="4" t="str">
        <f t="shared" si="568"/>
        <v>20170802</v>
      </c>
      <c r="C859" s="4" t="str">
        <f t="shared" ref="C859:C865" si="571">"证券买入"</f>
        <v>证券买入</v>
      </c>
      <c r="D859" s="4" t="str">
        <f t="shared" si="569"/>
        <v>600219</v>
      </c>
      <c r="E859" s="4" t="str">
        <f t="shared" si="570"/>
        <v>南山铝业</v>
      </c>
      <c r="F859" s="4">
        <v>3.79</v>
      </c>
      <c r="G859" s="4">
        <v>5000</v>
      </c>
      <c r="H859" s="4">
        <v>18950</v>
      </c>
      <c r="I859" s="12">
        <v>-18956.25</v>
      </c>
      <c r="J859" s="4">
        <v>-11748.39</v>
      </c>
      <c r="K859" s="4">
        <v>11250</v>
      </c>
    </row>
    <row r="860" spans="1:11">
      <c r="A860" s="4" t="str">
        <f t="shared" si="567"/>
        <v>20170802</v>
      </c>
      <c r="B860" s="4" t="str">
        <f t="shared" si="568"/>
        <v>20170802</v>
      </c>
      <c r="C860" s="4" t="str">
        <f>"证券卖出"</f>
        <v>证券卖出</v>
      </c>
      <c r="D860" s="4" t="str">
        <f t="shared" si="569"/>
        <v>600219</v>
      </c>
      <c r="E860" s="4" t="str">
        <f t="shared" si="570"/>
        <v>南山铝业</v>
      </c>
      <c r="F860" s="4">
        <v>3.85</v>
      </c>
      <c r="G860" s="4">
        <v>5000</v>
      </c>
      <c r="H860" s="4">
        <v>19250</v>
      </c>
      <c r="I860" s="12">
        <v>19224.38</v>
      </c>
      <c r="J860" s="4">
        <v>7475.99</v>
      </c>
      <c r="K860" s="4">
        <v>6250</v>
      </c>
    </row>
    <row r="861" spans="1:11">
      <c r="A861" s="4" t="str">
        <f t="shared" si="567"/>
        <v>20170802</v>
      </c>
      <c r="B861" s="4" t="str">
        <f t="shared" si="568"/>
        <v>20170802</v>
      </c>
      <c r="C861" s="4" t="str">
        <f t="shared" si="571"/>
        <v>证券买入</v>
      </c>
      <c r="D861" s="4" t="str">
        <f>"150182"</f>
        <v>150182</v>
      </c>
      <c r="E861" s="4" t="str">
        <f>"军工B"</f>
        <v>军工B</v>
      </c>
      <c r="F861" s="4">
        <v>0.747</v>
      </c>
      <c r="G861" s="4">
        <v>10000</v>
      </c>
      <c r="H861" s="4">
        <v>7470</v>
      </c>
      <c r="I861" s="12">
        <v>-7475</v>
      </c>
      <c r="J861" s="4">
        <v>0.99</v>
      </c>
      <c r="K861" s="4">
        <v>10000</v>
      </c>
    </row>
    <row r="862" spans="1:11">
      <c r="A862" s="4" t="str">
        <f t="shared" ref="A862:A865" si="572">"20170803"</f>
        <v>20170803</v>
      </c>
      <c r="B862" s="4" t="str">
        <f t="shared" ref="B862:B865" si="573">"20170803"</f>
        <v>20170803</v>
      </c>
      <c r="C862" s="4" t="str">
        <f>"基金赎回拨入"</f>
        <v>基金赎回拨入</v>
      </c>
      <c r="D862" s="4" t="str">
        <f>"AA0007"</f>
        <v>AA0007</v>
      </c>
      <c r="E862" s="4" t="str">
        <f>"银河水星1号集合"</f>
        <v>银河水星1号集合</v>
      </c>
      <c r="F862" s="4">
        <v>0</v>
      </c>
      <c r="G862" s="4">
        <v>9995</v>
      </c>
      <c r="H862" s="4">
        <v>0</v>
      </c>
      <c r="I862" s="12">
        <v>9995.01</v>
      </c>
      <c r="J862" s="4">
        <v>9996</v>
      </c>
      <c r="K862" s="4">
        <v>0</v>
      </c>
    </row>
    <row r="863" spans="1:11">
      <c r="A863" s="4" t="str">
        <f t="shared" si="572"/>
        <v>20170803</v>
      </c>
      <c r="B863" s="4" t="str">
        <f t="shared" si="573"/>
        <v>20170803</v>
      </c>
      <c r="C863" s="4" t="str">
        <f>"证券卖出"</f>
        <v>证券卖出</v>
      </c>
      <c r="D863" s="4" t="str">
        <f>"150182"</f>
        <v>150182</v>
      </c>
      <c r="E863" s="4" t="str">
        <f>"军工B"</f>
        <v>军工B</v>
      </c>
      <c r="F863" s="4">
        <v>0.751</v>
      </c>
      <c r="G863" s="4">
        <v>10000</v>
      </c>
      <c r="H863" s="4">
        <v>7510</v>
      </c>
      <c r="I863" s="12">
        <v>7505</v>
      </c>
      <c r="J863" s="4">
        <v>17501</v>
      </c>
      <c r="K863" s="4">
        <v>0</v>
      </c>
    </row>
    <row r="864" spans="1:11">
      <c r="A864" s="4" t="str">
        <f t="shared" si="572"/>
        <v>20170803</v>
      </c>
      <c r="B864" s="4" t="str">
        <f t="shared" si="573"/>
        <v>20170803</v>
      </c>
      <c r="C864" s="4" t="str">
        <f t="shared" si="571"/>
        <v>证券买入</v>
      </c>
      <c r="D864" s="4" t="str">
        <f>"150153"</f>
        <v>150153</v>
      </c>
      <c r="E864" s="4" t="str">
        <f>"创业板B"</f>
        <v>创业板B</v>
      </c>
      <c r="F864" s="4">
        <v>0.579</v>
      </c>
      <c r="G864" s="4">
        <v>10000</v>
      </c>
      <c r="H864" s="4">
        <v>5790</v>
      </c>
      <c r="I864" s="12">
        <v>-5795</v>
      </c>
      <c r="J864" s="4">
        <v>11706</v>
      </c>
      <c r="K864" s="4">
        <v>10000</v>
      </c>
    </row>
    <row r="865" spans="1:11">
      <c r="A865" s="4" t="str">
        <f t="shared" si="572"/>
        <v>20170803</v>
      </c>
      <c r="B865" s="4" t="str">
        <f t="shared" si="573"/>
        <v>20170803</v>
      </c>
      <c r="C865" s="4" t="str">
        <f t="shared" si="571"/>
        <v>证券买入</v>
      </c>
      <c r="D865" s="4" t="str">
        <f>"300463"</f>
        <v>300463</v>
      </c>
      <c r="E865" s="4" t="str">
        <f>"迈克生物"</f>
        <v>迈克生物</v>
      </c>
      <c r="F865" s="4">
        <v>23.4</v>
      </c>
      <c r="G865" s="4">
        <v>500</v>
      </c>
      <c r="H865" s="4">
        <v>11700</v>
      </c>
      <c r="I865" s="12">
        <v>-11705</v>
      </c>
      <c r="J865" s="4">
        <v>1</v>
      </c>
      <c r="K865" s="4">
        <v>500</v>
      </c>
    </row>
    <row r="866" spans="1:11">
      <c r="A866" s="4" t="str">
        <f>"20170807"</f>
        <v>20170807</v>
      </c>
      <c r="B866" s="4" t="str">
        <f>"20170807"</f>
        <v>20170807</v>
      </c>
      <c r="C866" s="4" t="str">
        <f>"基金申购拨出"</f>
        <v>基金申购拨出</v>
      </c>
      <c r="D866" s="4" t="str">
        <f>"AA0007"</f>
        <v>AA0007</v>
      </c>
      <c r="E866" s="4" t="str">
        <f>"银河水星1号集合"</f>
        <v>银河水星1号集合</v>
      </c>
      <c r="F866" s="4">
        <v>0</v>
      </c>
      <c r="G866" s="4">
        <v>0</v>
      </c>
      <c r="H866" s="4">
        <v>0</v>
      </c>
      <c r="I866" s="12">
        <v>-12312.42</v>
      </c>
      <c r="J866" s="4">
        <v>-12311.42</v>
      </c>
      <c r="K866" s="4">
        <v>0</v>
      </c>
    </row>
    <row r="867" spans="1:11">
      <c r="A867" s="4" t="str">
        <f>"20170807"</f>
        <v>20170807</v>
      </c>
      <c r="B867" s="4" t="str">
        <f>"20170807"</f>
        <v>20170807</v>
      </c>
      <c r="C867" s="4" t="str">
        <f>"证券卖出"</f>
        <v>证券卖出</v>
      </c>
      <c r="D867" s="4" t="str">
        <f>"600219"</f>
        <v>600219</v>
      </c>
      <c r="E867" s="4" t="str">
        <f>"南山铝业"</f>
        <v>南山铝业</v>
      </c>
      <c r="F867" s="4">
        <v>4.11</v>
      </c>
      <c r="G867" s="4">
        <v>3000</v>
      </c>
      <c r="H867" s="4">
        <v>12330</v>
      </c>
      <c r="I867" s="12">
        <v>12312.42</v>
      </c>
      <c r="J867" s="4">
        <v>1</v>
      </c>
      <c r="K867" s="4">
        <v>3250</v>
      </c>
    </row>
    <row r="868" spans="1:11">
      <c r="A868" s="4" t="str">
        <f t="shared" ref="A868:A873" si="574">"20170808"</f>
        <v>20170808</v>
      </c>
      <c r="B868" s="4" t="str">
        <f t="shared" ref="B868:B873" si="575">"20170808"</f>
        <v>20170808</v>
      </c>
      <c r="C868" s="4" t="str">
        <f>"基金赎回拨入"</f>
        <v>基金赎回拨入</v>
      </c>
      <c r="D868" s="4" t="str">
        <f>"AA0007"</f>
        <v>AA0007</v>
      </c>
      <c r="E868" s="4" t="str">
        <f>"银河水星1号集合"</f>
        <v>银河水星1号集合</v>
      </c>
      <c r="F868" s="4">
        <v>0</v>
      </c>
      <c r="G868" s="4">
        <v>8196</v>
      </c>
      <c r="H868" s="4">
        <v>0</v>
      </c>
      <c r="I868" s="12">
        <v>8196.94</v>
      </c>
      <c r="J868" s="4">
        <v>8197.94</v>
      </c>
      <c r="K868" s="4">
        <v>0</v>
      </c>
    </row>
    <row r="869" spans="1:11">
      <c r="A869" s="4" t="str">
        <f t="shared" si="574"/>
        <v>20170808</v>
      </c>
      <c r="B869" s="4" t="str">
        <f t="shared" si="575"/>
        <v>20170808</v>
      </c>
      <c r="C869" s="4" t="str">
        <f t="shared" ref="C869:C871" si="576">"证券买入"</f>
        <v>证券买入</v>
      </c>
      <c r="D869" s="4" t="str">
        <f>"300463"</f>
        <v>300463</v>
      </c>
      <c r="E869" s="4" t="str">
        <f>"迈克生物"</f>
        <v>迈克生物</v>
      </c>
      <c r="F869" s="4">
        <v>23.48</v>
      </c>
      <c r="G869" s="4">
        <v>500</v>
      </c>
      <c r="H869" s="4">
        <v>11740</v>
      </c>
      <c r="I869" s="12">
        <v>-11745</v>
      </c>
      <c r="J869" s="4">
        <v>-3547.06</v>
      </c>
      <c r="K869" s="4">
        <v>1000</v>
      </c>
    </row>
    <row r="870" spans="1:11">
      <c r="A870" s="4" t="str">
        <f t="shared" si="574"/>
        <v>20170808</v>
      </c>
      <c r="B870" s="4" t="str">
        <f t="shared" si="575"/>
        <v>20170808</v>
      </c>
      <c r="C870" s="4" t="str">
        <f t="shared" si="576"/>
        <v>证券买入</v>
      </c>
      <c r="D870" s="4" t="str">
        <f>"150153"</f>
        <v>150153</v>
      </c>
      <c r="E870" s="4" t="str">
        <f>"创业板B"</f>
        <v>创业板B</v>
      </c>
      <c r="F870" s="4">
        <v>0.571</v>
      </c>
      <c r="G870" s="4">
        <v>10000</v>
      </c>
      <c r="H870" s="4">
        <v>5710</v>
      </c>
      <c r="I870" s="12">
        <v>-5715</v>
      </c>
      <c r="J870" s="4">
        <v>-9262.06</v>
      </c>
      <c r="K870" s="4">
        <v>20000</v>
      </c>
    </row>
    <row r="871" spans="1:11">
      <c r="A871" s="4" t="str">
        <f t="shared" si="574"/>
        <v>20170808</v>
      </c>
      <c r="B871" s="4" t="str">
        <f t="shared" si="575"/>
        <v>20170808</v>
      </c>
      <c r="C871" s="4" t="str">
        <f t="shared" si="576"/>
        <v>证券买入</v>
      </c>
      <c r="D871" s="4" t="str">
        <f>"150182"</f>
        <v>150182</v>
      </c>
      <c r="E871" s="4" t="str">
        <f>"军工B"</f>
        <v>军工B</v>
      </c>
      <c r="F871" s="4">
        <v>0.84</v>
      </c>
      <c r="G871" s="4">
        <v>10000</v>
      </c>
      <c r="H871" s="4">
        <v>8400</v>
      </c>
      <c r="I871" s="12">
        <v>-8405</v>
      </c>
      <c r="J871" s="4">
        <v>-17667.06</v>
      </c>
      <c r="K871" s="4">
        <v>10000</v>
      </c>
    </row>
    <row r="872" spans="1:11">
      <c r="A872" s="4" t="str">
        <f t="shared" si="574"/>
        <v>20170808</v>
      </c>
      <c r="B872" s="4" t="str">
        <f t="shared" si="575"/>
        <v>20170808</v>
      </c>
      <c r="C872" s="4" t="str">
        <f t="shared" ref="C872:C877" si="577">"证券卖出"</f>
        <v>证券卖出</v>
      </c>
      <c r="D872" s="4" t="str">
        <f t="shared" ref="D872:D877" si="578">"150153"</f>
        <v>150153</v>
      </c>
      <c r="E872" s="4" t="str">
        <f t="shared" ref="E872:E877" si="579">"创业板B"</f>
        <v>创业板B</v>
      </c>
      <c r="F872" s="4">
        <v>0.575</v>
      </c>
      <c r="G872" s="4">
        <v>10000</v>
      </c>
      <c r="H872" s="4">
        <v>5750</v>
      </c>
      <c r="I872" s="12">
        <v>5745</v>
      </c>
      <c r="J872" s="4">
        <v>-11922.06</v>
      </c>
      <c r="K872" s="4">
        <v>10000</v>
      </c>
    </row>
    <row r="873" spans="1:11">
      <c r="A873" s="4" t="str">
        <f t="shared" si="574"/>
        <v>20170808</v>
      </c>
      <c r="B873" s="4" t="str">
        <f t="shared" si="575"/>
        <v>20170808</v>
      </c>
      <c r="C873" s="4" t="str">
        <f t="shared" si="577"/>
        <v>证券卖出</v>
      </c>
      <c r="D873" s="4" t="str">
        <f>"300463"</f>
        <v>300463</v>
      </c>
      <c r="E873" s="4" t="str">
        <f>"迈克生物"</f>
        <v>迈克生物</v>
      </c>
      <c r="F873" s="4">
        <v>23.88</v>
      </c>
      <c r="G873" s="4">
        <v>500</v>
      </c>
      <c r="H873" s="4">
        <v>11940</v>
      </c>
      <c r="I873" s="12">
        <v>11923.06</v>
      </c>
      <c r="J873" s="4">
        <v>1</v>
      </c>
      <c r="K873" s="4">
        <v>500</v>
      </c>
    </row>
    <row r="874" spans="1:11">
      <c r="A874" s="4" t="str">
        <f t="shared" ref="A874:A879" si="580">"20170809"</f>
        <v>20170809</v>
      </c>
      <c r="B874" s="4" t="str">
        <f t="shared" ref="B874:B879" si="581">"20170809"</f>
        <v>20170809</v>
      </c>
      <c r="C874" s="4" t="str">
        <f>"基金赎回拨入"</f>
        <v>基金赎回拨入</v>
      </c>
      <c r="D874" s="4" t="str">
        <f>"AA0007"</f>
        <v>AA0007</v>
      </c>
      <c r="E874" s="4" t="str">
        <f>"银河水星1号集合"</f>
        <v>银河水星1号集合</v>
      </c>
      <c r="F874" s="4">
        <v>0</v>
      </c>
      <c r="G874" s="4">
        <v>11107</v>
      </c>
      <c r="H874" s="4">
        <v>0</v>
      </c>
      <c r="I874" s="12">
        <v>11107.51</v>
      </c>
      <c r="J874" s="4">
        <v>11108.51</v>
      </c>
      <c r="K874" s="4">
        <v>0</v>
      </c>
    </row>
    <row r="875" spans="1:11">
      <c r="A875" s="4" t="str">
        <f t="shared" si="580"/>
        <v>20170809</v>
      </c>
      <c r="B875" s="4" t="str">
        <f t="shared" si="581"/>
        <v>20170809</v>
      </c>
      <c r="C875" s="4" t="str">
        <f t="shared" ref="C875:C878" si="582">"证券买入"</f>
        <v>证券买入</v>
      </c>
      <c r="D875" s="4" t="str">
        <f>"300463"</f>
        <v>300463</v>
      </c>
      <c r="E875" s="4" t="str">
        <f>"迈克生物"</f>
        <v>迈克生物</v>
      </c>
      <c r="F875" s="4">
        <v>24.5</v>
      </c>
      <c r="G875" s="4">
        <v>500</v>
      </c>
      <c r="H875" s="4">
        <v>12250</v>
      </c>
      <c r="I875" s="12">
        <v>-12255</v>
      </c>
      <c r="J875" s="4">
        <v>-1146.49</v>
      </c>
      <c r="K875" s="4">
        <v>1000</v>
      </c>
    </row>
    <row r="876" spans="1:11">
      <c r="A876" s="4" t="str">
        <f t="shared" si="580"/>
        <v>20170809</v>
      </c>
      <c r="B876" s="4" t="str">
        <f t="shared" si="581"/>
        <v>20170809</v>
      </c>
      <c r="C876" s="4" t="str">
        <f t="shared" si="582"/>
        <v>证券买入</v>
      </c>
      <c r="D876" s="4" t="str">
        <f t="shared" si="578"/>
        <v>150153</v>
      </c>
      <c r="E876" s="4" t="str">
        <f t="shared" si="579"/>
        <v>创业板B</v>
      </c>
      <c r="F876" s="4">
        <v>0.586</v>
      </c>
      <c r="G876" s="4">
        <v>10000</v>
      </c>
      <c r="H876" s="4">
        <v>5860</v>
      </c>
      <c r="I876" s="12">
        <v>-5865</v>
      </c>
      <c r="J876" s="4">
        <v>-7011.49</v>
      </c>
      <c r="K876" s="4">
        <v>20000</v>
      </c>
    </row>
    <row r="877" spans="1:11">
      <c r="A877" s="4" t="str">
        <f t="shared" si="580"/>
        <v>20170809</v>
      </c>
      <c r="B877" s="4" t="str">
        <f t="shared" si="581"/>
        <v>20170809</v>
      </c>
      <c r="C877" s="4" t="str">
        <f t="shared" si="577"/>
        <v>证券卖出</v>
      </c>
      <c r="D877" s="4" t="str">
        <f t="shared" si="578"/>
        <v>150153</v>
      </c>
      <c r="E877" s="4" t="str">
        <f t="shared" si="579"/>
        <v>创业板B</v>
      </c>
      <c r="F877" s="4">
        <v>0.589</v>
      </c>
      <c r="G877" s="4">
        <v>10000</v>
      </c>
      <c r="H877" s="4">
        <v>5890</v>
      </c>
      <c r="I877" s="12">
        <v>5885</v>
      </c>
      <c r="J877" s="4">
        <v>-1126.49</v>
      </c>
      <c r="K877" s="4">
        <v>10000</v>
      </c>
    </row>
    <row r="878" spans="1:11">
      <c r="A878" s="4" t="str">
        <f t="shared" si="580"/>
        <v>20170809</v>
      </c>
      <c r="B878" s="4" t="str">
        <f t="shared" si="581"/>
        <v>20170809</v>
      </c>
      <c r="C878" s="4" t="str">
        <f t="shared" si="582"/>
        <v>证券买入</v>
      </c>
      <c r="D878" s="4" t="str">
        <f>"000670"</f>
        <v>000670</v>
      </c>
      <c r="E878" s="4" t="str">
        <f>"盈方微"</f>
        <v>盈方微</v>
      </c>
      <c r="F878" s="4">
        <v>5.68</v>
      </c>
      <c r="G878" s="4">
        <v>2000</v>
      </c>
      <c r="H878" s="4">
        <v>11360</v>
      </c>
      <c r="I878" s="12">
        <v>-11365</v>
      </c>
      <c r="J878" s="4">
        <v>-12491.49</v>
      </c>
      <c r="K878" s="4">
        <v>2000</v>
      </c>
    </row>
    <row r="879" spans="1:11">
      <c r="A879" s="4" t="str">
        <f t="shared" si="580"/>
        <v>20170809</v>
      </c>
      <c r="B879" s="4" t="str">
        <f t="shared" si="581"/>
        <v>20170809</v>
      </c>
      <c r="C879" s="4" t="str">
        <f t="shared" ref="C879:C886" si="583">"证券卖出"</f>
        <v>证券卖出</v>
      </c>
      <c r="D879" s="4" t="str">
        <f>"300463"</f>
        <v>300463</v>
      </c>
      <c r="E879" s="4" t="str">
        <f>"迈克生物"</f>
        <v>迈克生物</v>
      </c>
      <c r="F879" s="4">
        <v>25.02</v>
      </c>
      <c r="G879" s="4">
        <v>500</v>
      </c>
      <c r="H879" s="4">
        <v>12510</v>
      </c>
      <c r="I879" s="12">
        <v>12492.49</v>
      </c>
      <c r="J879" s="4">
        <v>1</v>
      </c>
      <c r="K879" s="4">
        <v>500</v>
      </c>
    </row>
    <row r="880" spans="1:11">
      <c r="A880" s="4" t="str">
        <f t="shared" ref="A880:A886" si="584">"20170810"</f>
        <v>20170810</v>
      </c>
      <c r="B880" s="4" t="str">
        <f t="shared" ref="B880:B886" si="585">"20170810"</f>
        <v>20170810</v>
      </c>
      <c r="C880" s="4" t="str">
        <f>"基金申购拨出"</f>
        <v>基金申购拨出</v>
      </c>
      <c r="D880" s="4" t="str">
        <f>"AA0007"</f>
        <v>AA0007</v>
      </c>
      <c r="E880" s="4" t="str">
        <f>"银河水星1号集合"</f>
        <v>银河水星1号集合</v>
      </c>
      <c r="F880" s="4">
        <v>0</v>
      </c>
      <c r="G880" s="4">
        <v>0</v>
      </c>
      <c r="H880" s="4">
        <v>0</v>
      </c>
      <c r="I880" s="12">
        <v>-10548.79</v>
      </c>
      <c r="J880" s="4">
        <v>-10547.79</v>
      </c>
      <c r="K880" s="4">
        <v>0</v>
      </c>
    </row>
    <row r="881" spans="1:11">
      <c r="A881" s="4" t="str">
        <f t="shared" si="584"/>
        <v>20170810</v>
      </c>
      <c r="B881" s="4" t="str">
        <f t="shared" si="585"/>
        <v>20170810</v>
      </c>
      <c r="C881" s="4" t="str">
        <f>"证券买入"</f>
        <v>证券买入</v>
      </c>
      <c r="D881" s="4" t="str">
        <f>"300195"</f>
        <v>300195</v>
      </c>
      <c r="E881" s="4" t="str">
        <f>"长荣股份"</f>
        <v>长荣股份</v>
      </c>
      <c r="F881" s="4">
        <v>14.78</v>
      </c>
      <c r="G881" s="4">
        <v>1500</v>
      </c>
      <c r="H881" s="4">
        <v>22170</v>
      </c>
      <c r="I881" s="12">
        <v>-22176.87</v>
      </c>
      <c r="J881" s="4">
        <v>-32724.66</v>
      </c>
      <c r="K881" s="4">
        <v>1500</v>
      </c>
    </row>
    <row r="882" spans="1:11">
      <c r="A882" s="4" t="str">
        <f t="shared" si="584"/>
        <v>20170810</v>
      </c>
      <c r="B882" s="4" t="str">
        <f t="shared" si="585"/>
        <v>20170810</v>
      </c>
      <c r="C882" s="4" t="str">
        <f t="shared" si="583"/>
        <v>证券卖出</v>
      </c>
      <c r="D882" s="4" t="str">
        <f>"150182"</f>
        <v>150182</v>
      </c>
      <c r="E882" s="4" t="str">
        <f>"军工B"</f>
        <v>军工B</v>
      </c>
      <c r="F882" s="4">
        <v>0.848</v>
      </c>
      <c r="G882" s="4">
        <v>10000</v>
      </c>
      <c r="H882" s="4">
        <v>8480</v>
      </c>
      <c r="I882" s="12">
        <v>8475</v>
      </c>
      <c r="J882" s="4">
        <v>-24249.66</v>
      </c>
      <c r="K882" s="4">
        <v>0</v>
      </c>
    </row>
    <row r="883" spans="1:11">
      <c r="A883" s="4" t="str">
        <f t="shared" si="584"/>
        <v>20170810</v>
      </c>
      <c r="B883" s="4" t="str">
        <f t="shared" si="585"/>
        <v>20170810</v>
      </c>
      <c r="C883" s="4" t="str">
        <f>"证券买入"</f>
        <v>证券买入</v>
      </c>
      <c r="D883" s="4" t="str">
        <f t="shared" ref="D883:D888" si="586">"150153"</f>
        <v>150153</v>
      </c>
      <c r="E883" s="4" t="str">
        <f t="shared" ref="E883:E888" si="587">"创业板B"</f>
        <v>创业板B</v>
      </c>
      <c r="F883" s="4">
        <v>0.587</v>
      </c>
      <c r="G883" s="4">
        <v>10000</v>
      </c>
      <c r="H883" s="4">
        <v>5870</v>
      </c>
      <c r="I883" s="12">
        <v>-5875</v>
      </c>
      <c r="J883" s="4">
        <v>-30124.66</v>
      </c>
      <c r="K883" s="4">
        <v>20000</v>
      </c>
    </row>
    <row r="884" spans="1:11">
      <c r="A884" s="4" t="str">
        <f t="shared" si="584"/>
        <v>20170810</v>
      </c>
      <c r="B884" s="4" t="str">
        <f t="shared" si="585"/>
        <v>20170810</v>
      </c>
      <c r="C884" s="4" t="str">
        <f t="shared" si="583"/>
        <v>证券卖出</v>
      </c>
      <c r="D884" s="4" t="str">
        <f>"000670"</f>
        <v>000670</v>
      </c>
      <c r="E884" s="4" t="str">
        <f>"盈方微"</f>
        <v>盈方微</v>
      </c>
      <c r="F884" s="4">
        <v>5.98</v>
      </c>
      <c r="G884" s="4">
        <v>2000</v>
      </c>
      <c r="H884" s="4">
        <v>11960</v>
      </c>
      <c r="I884" s="12">
        <v>11943.04</v>
      </c>
      <c r="J884" s="4">
        <v>-18181.62</v>
      </c>
      <c r="K884" s="4">
        <v>0</v>
      </c>
    </row>
    <row r="885" spans="1:11">
      <c r="A885" s="4" t="str">
        <f t="shared" si="584"/>
        <v>20170810</v>
      </c>
      <c r="B885" s="4" t="str">
        <f t="shared" si="585"/>
        <v>20170810</v>
      </c>
      <c r="C885" s="4" t="str">
        <f t="shared" si="583"/>
        <v>证券卖出</v>
      </c>
      <c r="D885" s="4" t="str">
        <f>"300463"</f>
        <v>300463</v>
      </c>
      <c r="E885" s="4" t="str">
        <f>"迈克生物"</f>
        <v>迈克生物</v>
      </c>
      <c r="F885" s="4">
        <v>24.75</v>
      </c>
      <c r="G885" s="4">
        <v>500</v>
      </c>
      <c r="H885" s="4">
        <v>12375</v>
      </c>
      <c r="I885" s="12">
        <v>12357.62</v>
      </c>
      <c r="J885" s="4">
        <v>-5824</v>
      </c>
      <c r="K885" s="4">
        <v>0</v>
      </c>
    </row>
    <row r="886" spans="1:11">
      <c r="A886" s="4" t="str">
        <f t="shared" si="584"/>
        <v>20170810</v>
      </c>
      <c r="B886" s="4" t="str">
        <f t="shared" si="585"/>
        <v>20170810</v>
      </c>
      <c r="C886" s="4" t="str">
        <f t="shared" si="583"/>
        <v>证券卖出</v>
      </c>
      <c r="D886" s="4" t="str">
        <f t="shared" si="586"/>
        <v>150153</v>
      </c>
      <c r="E886" s="4" t="str">
        <f t="shared" si="587"/>
        <v>创业板B</v>
      </c>
      <c r="F886" s="4">
        <v>0.583</v>
      </c>
      <c r="G886" s="4">
        <v>10000</v>
      </c>
      <c r="H886" s="4">
        <v>5830</v>
      </c>
      <c r="I886" s="12">
        <v>5825</v>
      </c>
      <c r="J886" s="4">
        <v>1</v>
      </c>
      <c r="K886" s="4">
        <v>10000</v>
      </c>
    </row>
    <row r="887" spans="1:11">
      <c r="A887" s="4" t="str">
        <f t="shared" ref="A887:A891" si="588">"20170811"</f>
        <v>20170811</v>
      </c>
      <c r="B887" s="4" t="str">
        <f t="shared" ref="B887:B891" si="589">"20170811"</f>
        <v>20170811</v>
      </c>
      <c r="C887" s="4" t="str">
        <f>"基金申购拨出"</f>
        <v>基金申购拨出</v>
      </c>
      <c r="D887" s="4" t="str">
        <f>"AA0007"</f>
        <v>AA0007</v>
      </c>
      <c r="E887" s="4" t="str">
        <f>"银河水星1号集合"</f>
        <v>银河水星1号集合</v>
      </c>
      <c r="F887" s="4">
        <v>0</v>
      </c>
      <c r="G887" s="4">
        <v>0</v>
      </c>
      <c r="H887" s="4">
        <v>0</v>
      </c>
      <c r="I887" s="12">
        <v>-13251.68</v>
      </c>
      <c r="J887" s="4">
        <v>-13250.68</v>
      </c>
      <c r="K887" s="4">
        <v>0</v>
      </c>
    </row>
    <row r="888" spans="1:11">
      <c r="A888" s="4" t="str">
        <f t="shared" si="588"/>
        <v>20170811</v>
      </c>
      <c r="B888" s="4" t="str">
        <f t="shared" si="589"/>
        <v>20170811</v>
      </c>
      <c r="C888" s="4" t="str">
        <f>"证券买入"</f>
        <v>证券买入</v>
      </c>
      <c r="D888" s="4" t="str">
        <f t="shared" si="586"/>
        <v>150153</v>
      </c>
      <c r="E888" s="4" t="str">
        <f t="shared" si="587"/>
        <v>创业板B</v>
      </c>
      <c r="F888" s="4">
        <v>0.569</v>
      </c>
      <c r="G888" s="4">
        <v>10000</v>
      </c>
      <c r="H888" s="4">
        <v>5690</v>
      </c>
      <c r="I888" s="12">
        <v>-5695</v>
      </c>
      <c r="J888" s="4">
        <v>-18945.68</v>
      </c>
      <c r="K888" s="4">
        <v>20000</v>
      </c>
    </row>
    <row r="889" spans="1:11">
      <c r="A889" s="4" t="str">
        <f t="shared" si="588"/>
        <v>20170811</v>
      </c>
      <c r="B889" s="4" t="str">
        <f t="shared" si="589"/>
        <v>20170811</v>
      </c>
      <c r="C889" s="4" t="str">
        <f>"证券买入"</f>
        <v>证券买入</v>
      </c>
      <c r="D889" s="4" t="str">
        <f>"150182"</f>
        <v>150182</v>
      </c>
      <c r="E889" s="4" t="str">
        <f>"军工B"</f>
        <v>军工B</v>
      </c>
      <c r="F889" s="4">
        <v>0.84</v>
      </c>
      <c r="G889" s="4">
        <v>10000</v>
      </c>
      <c r="H889" s="4">
        <v>8400</v>
      </c>
      <c r="I889" s="12">
        <v>-8405</v>
      </c>
      <c r="J889" s="4">
        <v>-27350.68</v>
      </c>
      <c r="K889" s="4">
        <v>10000</v>
      </c>
    </row>
    <row r="890" spans="1:11">
      <c r="A890" s="4" t="str">
        <f t="shared" si="588"/>
        <v>20170811</v>
      </c>
      <c r="B890" s="4" t="str">
        <f t="shared" si="589"/>
        <v>20170811</v>
      </c>
      <c r="C890" s="4" t="str">
        <f t="shared" ref="C890:C894" si="590">"证券卖出"</f>
        <v>证券卖出</v>
      </c>
      <c r="D890" s="4" t="str">
        <f>"150153"</f>
        <v>150153</v>
      </c>
      <c r="E890" s="4" t="str">
        <f>"创业板B"</f>
        <v>创业板B</v>
      </c>
      <c r="F890" s="4">
        <v>0.577</v>
      </c>
      <c r="G890" s="4">
        <v>10000</v>
      </c>
      <c r="H890" s="4">
        <v>5770</v>
      </c>
      <c r="I890" s="12">
        <v>5765</v>
      </c>
      <c r="J890" s="4">
        <v>-21585.68</v>
      </c>
      <c r="K890" s="4">
        <v>10000</v>
      </c>
    </row>
    <row r="891" spans="1:11">
      <c r="A891" s="4" t="str">
        <f t="shared" si="588"/>
        <v>20170811</v>
      </c>
      <c r="B891" s="4" t="str">
        <f t="shared" si="589"/>
        <v>20170811</v>
      </c>
      <c r="C891" s="4" t="str">
        <f t="shared" si="590"/>
        <v>证券卖出</v>
      </c>
      <c r="D891" s="4" t="str">
        <f>"300195"</f>
        <v>300195</v>
      </c>
      <c r="E891" s="4" t="str">
        <f>"长荣股份"</f>
        <v>长荣股份</v>
      </c>
      <c r="F891" s="4">
        <v>14.41</v>
      </c>
      <c r="G891" s="4">
        <v>1500</v>
      </c>
      <c r="H891" s="4">
        <v>21615</v>
      </c>
      <c r="I891" s="12">
        <v>21586.68</v>
      </c>
      <c r="J891" s="4">
        <v>1</v>
      </c>
      <c r="K891" s="4">
        <v>0</v>
      </c>
    </row>
    <row r="892" spans="1:11">
      <c r="A892" s="4" t="str">
        <f t="shared" ref="A892:A896" si="591">"20170814"</f>
        <v>20170814</v>
      </c>
      <c r="B892" s="4" t="str">
        <f t="shared" ref="B892:B896" si="592">"20170814"</f>
        <v>20170814</v>
      </c>
      <c r="C892" s="4" t="str">
        <f>"基金赎回拨入"</f>
        <v>基金赎回拨入</v>
      </c>
      <c r="D892" s="4" t="str">
        <f>"AA0007"</f>
        <v>AA0007</v>
      </c>
      <c r="E892" s="4" t="str">
        <f>"银河水星1号集合"</f>
        <v>银河水星1号集合</v>
      </c>
      <c r="F892" s="4">
        <v>0</v>
      </c>
      <c r="G892" s="4">
        <v>6050</v>
      </c>
      <c r="H892" s="4">
        <v>0</v>
      </c>
      <c r="I892" s="12">
        <v>6050</v>
      </c>
      <c r="J892" s="4">
        <v>6051</v>
      </c>
      <c r="K892" s="4">
        <v>0</v>
      </c>
    </row>
    <row r="893" spans="1:11">
      <c r="A893" s="4" t="str">
        <f t="shared" si="591"/>
        <v>20170814</v>
      </c>
      <c r="B893" s="4" t="str">
        <f t="shared" si="592"/>
        <v>20170814</v>
      </c>
      <c r="C893" s="4" t="str">
        <f t="shared" si="590"/>
        <v>证券卖出</v>
      </c>
      <c r="D893" s="4" t="str">
        <f t="shared" ref="D893:D898" si="593">"150153"</f>
        <v>150153</v>
      </c>
      <c r="E893" s="4" t="str">
        <f t="shared" ref="E893:E898" si="594">"创业板B"</f>
        <v>创业板B</v>
      </c>
      <c r="F893" s="4">
        <v>0.587</v>
      </c>
      <c r="G893" s="4">
        <v>10000</v>
      </c>
      <c r="H893" s="4">
        <v>5870</v>
      </c>
      <c r="I893" s="12">
        <v>5865</v>
      </c>
      <c r="J893" s="4">
        <v>11916</v>
      </c>
      <c r="K893" s="4">
        <v>0</v>
      </c>
    </row>
    <row r="894" spans="1:11">
      <c r="A894" s="4" t="str">
        <f t="shared" si="591"/>
        <v>20170814</v>
      </c>
      <c r="B894" s="4" t="str">
        <f t="shared" si="592"/>
        <v>20170814</v>
      </c>
      <c r="C894" s="4" t="str">
        <f t="shared" si="590"/>
        <v>证券卖出</v>
      </c>
      <c r="D894" s="4" t="str">
        <f>"150182"</f>
        <v>150182</v>
      </c>
      <c r="E894" s="4" t="str">
        <f>"军工B"</f>
        <v>军工B</v>
      </c>
      <c r="F894" s="4">
        <v>0.829</v>
      </c>
      <c r="G894" s="4">
        <v>10000</v>
      </c>
      <c r="H894" s="4">
        <v>8290</v>
      </c>
      <c r="I894" s="12">
        <v>8285</v>
      </c>
      <c r="J894" s="4">
        <v>20201</v>
      </c>
      <c r="K894" s="4">
        <v>0</v>
      </c>
    </row>
    <row r="895" spans="1:11">
      <c r="A895" s="4" t="str">
        <f t="shared" si="591"/>
        <v>20170814</v>
      </c>
      <c r="B895" s="4" t="str">
        <f t="shared" si="592"/>
        <v>20170814</v>
      </c>
      <c r="C895" s="4" t="str">
        <f t="shared" ref="C895:C898" si="595">"证券买入"</f>
        <v>证券买入</v>
      </c>
      <c r="D895" s="4" t="str">
        <f>"150182"</f>
        <v>150182</v>
      </c>
      <c r="E895" s="4" t="str">
        <f>"军工B"</f>
        <v>军工B</v>
      </c>
      <c r="F895" s="4">
        <v>0.835</v>
      </c>
      <c r="G895" s="4">
        <v>10000</v>
      </c>
      <c r="H895" s="4">
        <v>8350</v>
      </c>
      <c r="I895" s="12">
        <v>-8355</v>
      </c>
      <c r="J895" s="4">
        <v>11846</v>
      </c>
      <c r="K895" s="4">
        <v>10000</v>
      </c>
    </row>
    <row r="896" spans="1:11">
      <c r="A896" s="4" t="str">
        <f t="shared" si="591"/>
        <v>20170814</v>
      </c>
      <c r="B896" s="4" t="str">
        <f t="shared" si="592"/>
        <v>20170814</v>
      </c>
      <c r="C896" s="4" t="str">
        <f t="shared" si="595"/>
        <v>证券买入</v>
      </c>
      <c r="D896" s="4" t="str">
        <f t="shared" si="593"/>
        <v>150153</v>
      </c>
      <c r="E896" s="4" t="str">
        <f t="shared" si="594"/>
        <v>创业板B</v>
      </c>
      <c r="F896" s="4">
        <v>0.592</v>
      </c>
      <c r="G896" s="4">
        <v>20000</v>
      </c>
      <c r="H896" s="4">
        <v>11840</v>
      </c>
      <c r="I896" s="12">
        <v>-11845</v>
      </c>
      <c r="J896" s="4">
        <v>1</v>
      </c>
      <c r="K896" s="4">
        <v>20000</v>
      </c>
    </row>
    <row r="897" spans="1:11">
      <c r="A897" s="4" t="str">
        <f>"20170815"</f>
        <v>20170815</v>
      </c>
      <c r="B897" s="4" t="str">
        <f>"20170815"</f>
        <v>20170815</v>
      </c>
      <c r="C897" s="4" t="str">
        <f>"基金赎回拨入"</f>
        <v>基金赎回拨入</v>
      </c>
      <c r="D897" s="4" t="str">
        <f>"AA0007"</f>
        <v>AA0007</v>
      </c>
      <c r="E897" s="4" t="str">
        <f>"银河水星1号集合"</f>
        <v>银河水星1号集合</v>
      </c>
      <c r="F897" s="4">
        <v>0</v>
      </c>
      <c r="G897" s="4">
        <v>12205</v>
      </c>
      <c r="H897" s="4">
        <v>0</v>
      </c>
      <c r="I897" s="12">
        <v>12205</v>
      </c>
      <c r="J897" s="4">
        <v>12206</v>
      </c>
      <c r="K897" s="4">
        <v>0</v>
      </c>
    </row>
    <row r="898" spans="1:11">
      <c r="A898" s="4" t="str">
        <f>"20170815"</f>
        <v>20170815</v>
      </c>
      <c r="B898" s="4" t="str">
        <f>"20170815"</f>
        <v>20170815</v>
      </c>
      <c r="C898" s="4" t="str">
        <f t="shared" si="595"/>
        <v>证券买入</v>
      </c>
      <c r="D898" s="4" t="str">
        <f t="shared" si="593"/>
        <v>150153</v>
      </c>
      <c r="E898" s="4" t="str">
        <f t="shared" si="594"/>
        <v>创业板B</v>
      </c>
      <c r="F898" s="4">
        <v>0.61</v>
      </c>
      <c r="G898" s="4">
        <v>20000</v>
      </c>
      <c r="H898" s="4">
        <v>12200</v>
      </c>
      <c r="I898" s="12">
        <v>-12205</v>
      </c>
      <c r="J898" s="4">
        <v>1</v>
      </c>
      <c r="K898" s="4">
        <v>40000</v>
      </c>
    </row>
    <row r="899" spans="1:11">
      <c r="A899" s="4" t="str">
        <f t="shared" ref="A899:A902" si="596">"20170816"</f>
        <v>20170816</v>
      </c>
      <c r="B899" s="4" t="str">
        <f t="shared" ref="B899:B902" si="597">"20170816"</f>
        <v>20170816</v>
      </c>
      <c r="C899" s="4" t="str">
        <f>"基金申购拨出"</f>
        <v>基金申购拨出</v>
      </c>
      <c r="D899" s="4" t="str">
        <f>"AA0007"</f>
        <v>AA0007</v>
      </c>
      <c r="E899" s="4" t="str">
        <f>"银河水星1号集合"</f>
        <v>银河水星1号集合</v>
      </c>
      <c r="F899" s="4">
        <v>0</v>
      </c>
      <c r="G899" s="4">
        <v>0</v>
      </c>
      <c r="H899" s="4">
        <v>0</v>
      </c>
      <c r="I899" s="12">
        <v>-12565</v>
      </c>
      <c r="J899" s="4">
        <v>-12564</v>
      </c>
      <c r="K899" s="4">
        <v>0</v>
      </c>
    </row>
    <row r="900" spans="1:11">
      <c r="A900" s="4" t="str">
        <f t="shared" si="596"/>
        <v>20170816</v>
      </c>
      <c r="B900" s="4" t="str">
        <f t="shared" si="597"/>
        <v>20170816</v>
      </c>
      <c r="C900" s="4" t="str">
        <f>"证券卖出"</f>
        <v>证券卖出</v>
      </c>
      <c r="D900" s="4" t="str">
        <f t="shared" ref="D900:D902" si="598">"150153"</f>
        <v>150153</v>
      </c>
      <c r="E900" s="4" t="str">
        <f t="shared" ref="E900:E902" si="599">"创业板B"</f>
        <v>创业板B</v>
      </c>
      <c r="F900" s="4">
        <v>0.627</v>
      </c>
      <c r="G900" s="4">
        <v>20000</v>
      </c>
      <c r="H900" s="4">
        <v>12540</v>
      </c>
      <c r="I900" s="12">
        <v>12535</v>
      </c>
      <c r="J900" s="4">
        <v>-29</v>
      </c>
      <c r="K900" s="4">
        <v>20000</v>
      </c>
    </row>
    <row r="901" spans="1:11">
      <c r="A901" s="4" t="str">
        <f t="shared" si="596"/>
        <v>20170816</v>
      </c>
      <c r="B901" s="4" t="str">
        <f t="shared" si="597"/>
        <v>20170816</v>
      </c>
      <c r="C901" s="4" t="str">
        <f t="shared" ref="C901:C905" si="600">"证券买入"</f>
        <v>证券买入</v>
      </c>
      <c r="D901" s="4" t="str">
        <f t="shared" si="598"/>
        <v>150153</v>
      </c>
      <c r="E901" s="4" t="str">
        <f t="shared" si="599"/>
        <v>创业板B</v>
      </c>
      <c r="F901" s="4">
        <v>0.624</v>
      </c>
      <c r="G901" s="4">
        <v>20000</v>
      </c>
      <c r="H901" s="4">
        <v>12480</v>
      </c>
      <c r="I901" s="12">
        <v>-12485</v>
      </c>
      <c r="J901" s="4">
        <v>-12514</v>
      </c>
      <c r="K901" s="4">
        <v>40000</v>
      </c>
    </row>
    <row r="902" spans="1:11">
      <c r="A902" s="4" t="str">
        <f t="shared" si="596"/>
        <v>20170816</v>
      </c>
      <c r="B902" s="4" t="str">
        <f t="shared" si="597"/>
        <v>20170816</v>
      </c>
      <c r="C902" s="4" t="str">
        <f>"证券卖出"</f>
        <v>证券卖出</v>
      </c>
      <c r="D902" s="4" t="str">
        <f t="shared" si="598"/>
        <v>150153</v>
      </c>
      <c r="E902" s="4" t="str">
        <f t="shared" si="599"/>
        <v>创业板B</v>
      </c>
      <c r="F902" s="4">
        <v>0.626</v>
      </c>
      <c r="G902" s="4">
        <v>20000</v>
      </c>
      <c r="H902" s="4">
        <v>12520</v>
      </c>
      <c r="I902" s="12">
        <v>12515</v>
      </c>
      <c r="J902" s="4">
        <v>1</v>
      </c>
      <c r="K902" s="4">
        <v>20000</v>
      </c>
    </row>
    <row r="903" spans="1:11">
      <c r="A903" s="4" t="str">
        <f t="shared" ref="A903:A906" si="601">"20170817"</f>
        <v>20170817</v>
      </c>
      <c r="B903" s="4" t="str">
        <f t="shared" ref="B903:B906" si="602">"20170817"</f>
        <v>20170817</v>
      </c>
      <c r="C903" s="4" t="str">
        <f>"基金赎回拨入"</f>
        <v>基金赎回拨入</v>
      </c>
      <c r="D903" s="4" t="str">
        <f>"AA0007"</f>
        <v>AA0007</v>
      </c>
      <c r="E903" s="4" t="str">
        <f>"银河水星1号集合"</f>
        <v>银河水星1号集合</v>
      </c>
      <c r="F903" s="4">
        <v>0</v>
      </c>
      <c r="G903" s="4">
        <v>8815</v>
      </c>
      <c r="H903" s="4">
        <v>0</v>
      </c>
      <c r="I903" s="12">
        <v>8815</v>
      </c>
      <c r="J903" s="4">
        <v>8816</v>
      </c>
      <c r="K903" s="4">
        <v>0</v>
      </c>
    </row>
    <row r="904" spans="1:11">
      <c r="A904" s="4" t="str">
        <f t="shared" si="601"/>
        <v>20170817</v>
      </c>
      <c r="B904" s="4" t="str">
        <f t="shared" si="602"/>
        <v>20170817</v>
      </c>
      <c r="C904" s="4" t="str">
        <f t="shared" si="600"/>
        <v>证券买入</v>
      </c>
      <c r="D904" s="4" t="str">
        <f t="shared" ref="D904:D909" si="603">"150153"</f>
        <v>150153</v>
      </c>
      <c r="E904" s="4" t="str">
        <f t="shared" ref="E904:E909" si="604">"创业板B"</f>
        <v>创业板B</v>
      </c>
      <c r="F904" s="4">
        <v>0.624</v>
      </c>
      <c r="G904" s="4">
        <v>20000</v>
      </c>
      <c r="H904" s="4">
        <v>12480</v>
      </c>
      <c r="I904" s="12">
        <v>-12485</v>
      </c>
      <c r="J904" s="4">
        <v>-3669</v>
      </c>
      <c r="K904" s="4">
        <v>40000</v>
      </c>
    </row>
    <row r="905" spans="1:11">
      <c r="A905" s="4" t="str">
        <f t="shared" si="601"/>
        <v>20170817</v>
      </c>
      <c r="B905" s="4" t="str">
        <f t="shared" si="602"/>
        <v>20170817</v>
      </c>
      <c r="C905" s="4" t="str">
        <f t="shared" si="600"/>
        <v>证券买入</v>
      </c>
      <c r="D905" s="4" t="str">
        <f t="shared" ref="D905:D910" si="605">"150182"</f>
        <v>150182</v>
      </c>
      <c r="E905" s="4" t="str">
        <f t="shared" ref="E905:E910" si="606">"军工B"</f>
        <v>军工B</v>
      </c>
      <c r="F905" s="4">
        <v>0.884</v>
      </c>
      <c r="G905" s="4">
        <v>10000</v>
      </c>
      <c r="H905" s="4">
        <v>8840</v>
      </c>
      <c r="I905" s="12">
        <v>-8845</v>
      </c>
      <c r="J905" s="4">
        <v>-12514</v>
      </c>
      <c r="K905" s="4">
        <v>20000</v>
      </c>
    </row>
    <row r="906" spans="1:11">
      <c r="A906" s="4" t="str">
        <f t="shared" si="601"/>
        <v>20170817</v>
      </c>
      <c r="B906" s="4" t="str">
        <f t="shared" si="602"/>
        <v>20170817</v>
      </c>
      <c r="C906" s="4" t="str">
        <f t="shared" ref="C906:C910" si="607">"证券卖出"</f>
        <v>证券卖出</v>
      </c>
      <c r="D906" s="4" t="str">
        <f t="shared" si="603"/>
        <v>150153</v>
      </c>
      <c r="E906" s="4" t="str">
        <f t="shared" si="604"/>
        <v>创业板B</v>
      </c>
      <c r="F906" s="4">
        <v>0.626</v>
      </c>
      <c r="G906" s="4">
        <v>20000</v>
      </c>
      <c r="H906" s="4">
        <v>12520</v>
      </c>
      <c r="I906" s="12">
        <v>12515</v>
      </c>
      <c r="J906" s="4">
        <v>1</v>
      </c>
      <c r="K906" s="4">
        <v>20000</v>
      </c>
    </row>
    <row r="907" spans="1:11">
      <c r="A907" s="4" t="str">
        <f t="shared" ref="A907:A911" si="608">"20170818"</f>
        <v>20170818</v>
      </c>
      <c r="B907" s="4" t="str">
        <f t="shared" ref="B907:B911" si="609">"20170818"</f>
        <v>20170818</v>
      </c>
      <c r="C907" s="4" t="str">
        <f>"基金赎回拨入"</f>
        <v>基金赎回拨入</v>
      </c>
      <c r="D907" s="4" t="str">
        <f>"AA0007"</f>
        <v>AA0007</v>
      </c>
      <c r="E907" s="4" t="str">
        <f>"银河水星1号集合"</f>
        <v>银河水星1号集合</v>
      </c>
      <c r="F907" s="4">
        <v>0</v>
      </c>
      <c r="G907" s="4">
        <v>60</v>
      </c>
      <c r="H907" s="4">
        <v>0</v>
      </c>
      <c r="I907" s="12">
        <v>60.75</v>
      </c>
      <c r="J907" s="4">
        <v>61.75</v>
      </c>
      <c r="K907" s="4">
        <v>0</v>
      </c>
    </row>
    <row r="908" spans="1:11">
      <c r="A908" s="4" t="str">
        <f t="shared" si="608"/>
        <v>20170818</v>
      </c>
      <c r="B908" s="4" t="str">
        <f t="shared" si="609"/>
        <v>20170818</v>
      </c>
      <c r="C908" s="4" t="str">
        <f t="shared" ref="C908:C914" si="610">"证券买入"</f>
        <v>证券买入</v>
      </c>
      <c r="D908" s="4" t="str">
        <f t="shared" si="605"/>
        <v>150182</v>
      </c>
      <c r="E908" s="4" t="str">
        <f t="shared" si="606"/>
        <v>军工B</v>
      </c>
      <c r="F908" s="4">
        <v>0.871</v>
      </c>
      <c r="G908" s="4">
        <v>20000</v>
      </c>
      <c r="H908" s="4">
        <v>17420</v>
      </c>
      <c r="I908" s="12">
        <v>-17425.4</v>
      </c>
      <c r="J908" s="4">
        <v>-17363.65</v>
      </c>
      <c r="K908" s="4">
        <v>40000</v>
      </c>
    </row>
    <row r="909" spans="1:11">
      <c r="A909" s="4" t="str">
        <f t="shared" si="608"/>
        <v>20170818</v>
      </c>
      <c r="B909" s="4" t="str">
        <f t="shared" si="609"/>
        <v>20170818</v>
      </c>
      <c r="C909" s="4" t="str">
        <f t="shared" si="607"/>
        <v>证券卖出</v>
      </c>
      <c r="D909" s="4" t="str">
        <f t="shared" si="603"/>
        <v>150153</v>
      </c>
      <c r="E909" s="4" t="str">
        <f t="shared" si="604"/>
        <v>创业板B</v>
      </c>
      <c r="F909" s="4">
        <v>0.635</v>
      </c>
      <c r="G909" s="4">
        <v>20000</v>
      </c>
      <c r="H909" s="4">
        <v>12700</v>
      </c>
      <c r="I909" s="12">
        <v>12695</v>
      </c>
      <c r="J909" s="4">
        <v>-4668.65</v>
      </c>
      <c r="K909" s="4">
        <v>0</v>
      </c>
    </row>
    <row r="910" spans="1:11">
      <c r="A910" s="4" t="str">
        <f t="shared" si="608"/>
        <v>20170818</v>
      </c>
      <c r="B910" s="4" t="str">
        <f t="shared" si="609"/>
        <v>20170818</v>
      </c>
      <c r="C910" s="4" t="str">
        <f t="shared" si="607"/>
        <v>证券卖出</v>
      </c>
      <c r="D910" s="4" t="str">
        <f t="shared" si="605"/>
        <v>150182</v>
      </c>
      <c r="E910" s="4" t="str">
        <f t="shared" si="606"/>
        <v>军工B</v>
      </c>
      <c r="F910" s="4">
        <v>0.865</v>
      </c>
      <c r="G910" s="4">
        <v>20000</v>
      </c>
      <c r="H910" s="4">
        <v>17300.01</v>
      </c>
      <c r="I910" s="12">
        <v>17294.65</v>
      </c>
      <c r="J910" s="4">
        <v>12626</v>
      </c>
      <c r="K910" s="4">
        <v>20000</v>
      </c>
    </row>
    <row r="911" spans="1:11">
      <c r="A911" s="4" t="str">
        <f t="shared" si="608"/>
        <v>20170818</v>
      </c>
      <c r="B911" s="4" t="str">
        <f t="shared" si="609"/>
        <v>20170818</v>
      </c>
      <c r="C911" s="4" t="str">
        <f t="shared" si="610"/>
        <v>证券买入</v>
      </c>
      <c r="D911" s="4" t="str">
        <f t="shared" ref="D911:D916" si="611">"150153"</f>
        <v>150153</v>
      </c>
      <c r="E911" s="4" t="str">
        <f t="shared" ref="E911:E916" si="612">"创业板B"</f>
        <v>创业板B</v>
      </c>
      <c r="F911" s="4">
        <v>0.631</v>
      </c>
      <c r="G911" s="4">
        <v>20000</v>
      </c>
      <c r="H911" s="4">
        <v>12620</v>
      </c>
      <c r="I911" s="12">
        <v>-12625</v>
      </c>
      <c r="J911" s="4">
        <v>1</v>
      </c>
      <c r="K911" s="4">
        <v>20000</v>
      </c>
    </row>
    <row r="912" spans="1:11">
      <c r="A912" s="4" t="str">
        <f t="shared" ref="A912:A916" si="613">"20170822"</f>
        <v>20170822</v>
      </c>
      <c r="B912" s="4" t="str">
        <f t="shared" ref="B912:B916" si="614">"20170822"</f>
        <v>20170822</v>
      </c>
      <c r="C912" s="4" t="str">
        <f>"基金赎回拨入"</f>
        <v>基金赎回拨入</v>
      </c>
      <c r="D912" s="4" t="str">
        <f>"AA0007"</f>
        <v>AA0007</v>
      </c>
      <c r="E912" s="4" t="str">
        <f>"银河水星1号集合"</f>
        <v>银河水星1号集合</v>
      </c>
      <c r="F912" s="4">
        <v>0</v>
      </c>
      <c r="G912" s="4">
        <v>29780</v>
      </c>
      <c r="H912" s="4">
        <v>0</v>
      </c>
      <c r="I912" s="12">
        <v>29780.33</v>
      </c>
      <c r="J912" s="4">
        <v>29781.33</v>
      </c>
      <c r="K912" s="4">
        <v>0</v>
      </c>
    </row>
    <row r="913" spans="1:11">
      <c r="A913" s="4" t="str">
        <f t="shared" si="613"/>
        <v>20170822</v>
      </c>
      <c r="B913" s="4" t="str">
        <f t="shared" si="614"/>
        <v>20170822</v>
      </c>
      <c r="C913" s="4" t="str">
        <f t="shared" si="610"/>
        <v>证券买入</v>
      </c>
      <c r="D913" s="4" t="str">
        <f>"150182"</f>
        <v>150182</v>
      </c>
      <c r="E913" s="4" t="str">
        <f>"军工B"</f>
        <v>军工B</v>
      </c>
      <c r="F913" s="4">
        <v>0.86</v>
      </c>
      <c r="G913" s="4">
        <v>20000</v>
      </c>
      <c r="H913" s="4">
        <v>17200</v>
      </c>
      <c r="I913" s="12">
        <v>-17205.33</v>
      </c>
      <c r="J913" s="4">
        <v>12576</v>
      </c>
      <c r="K913" s="4">
        <v>40000</v>
      </c>
    </row>
    <row r="914" spans="1:11">
      <c r="A914" s="4" t="str">
        <f t="shared" si="613"/>
        <v>20170822</v>
      </c>
      <c r="B914" s="4" t="str">
        <f t="shared" si="614"/>
        <v>20170822</v>
      </c>
      <c r="C914" s="4" t="str">
        <f t="shared" si="610"/>
        <v>证券买入</v>
      </c>
      <c r="D914" s="4" t="str">
        <f t="shared" si="611"/>
        <v>150153</v>
      </c>
      <c r="E914" s="4" t="str">
        <f t="shared" si="612"/>
        <v>创业板B</v>
      </c>
      <c r="F914" s="4">
        <v>0.628</v>
      </c>
      <c r="G914" s="4">
        <v>20000</v>
      </c>
      <c r="H914" s="4">
        <v>12560</v>
      </c>
      <c r="I914" s="12">
        <v>-12565</v>
      </c>
      <c r="J914" s="4">
        <v>11</v>
      </c>
      <c r="K914" s="4">
        <v>40000</v>
      </c>
    </row>
    <row r="915" spans="1:11">
      <c r="A915" s="4" t="str">
        <f t="shared" si="613"/>
        <v>20170822</v>
      </c>
      <c r="B915" s="4" t="str">
        <f t="shared" si="614"/>
        <v>20170822</v>
      </c>
      <c r="C915" s="4" t="str">
        <f t="shared" ref="C915:C919" si="615">"证券卖出"</f>
        <v>证券卖出</v>
      </c>
      <c r="D915" s="4" t="str">
        <f t="shared" si="611"/>
        <v>150153</v>
      </c>
      <c r="E915" s="4" t="str">
        <f t="shared" si="612"/>
        <v>创业板B</v>
      </c>
      <c r="F915" s="4">
        <v>0.622</v>
      </c>
      <c r="G915" s="4">
        <v>20000</v>
      </c>
      <c r="H915" s="4">
        <v>12440</v>
      </c>
      <c r="I915" s="12">
        <v>12435</v>
      </c>
      <c r="J915" s="4">
        <v>12446</v>
      </c>
      <c r="K915" s="4">
        <v>20000</v>
      </c>
    </row>
    <row r="916" spans="1:11">
      <c r="A916" s="4" t="str">
        <f t="shared" si="613"/>
        <v>20170822</v>
      </c>
      <c r="B916" s="4" t="str">
        <f t="shared" si="614"/>
        <v>20170822</v>
      </c>
      <c r="C916" s="4" t="str">
        <f>"证券买入"</f>
        <v>证券买入</v>
      </c>
      <c r="D916" s="4" t="str">
        <f t="shared" si="611"/>
        <v>150153</v>
      </c>
      <c r="E916" s="4" t="str">
        <f t="shared" si="612"/>
        <v>创业板B</v>
      </c>
      <c r="F916" s="4">
        <v>0.622</v>
      </c>
      <c r="G916" s="4">
        <v>20000</v>
      </c>
      <c r="H916" s="4">
        <v>12440</v>
      </c>
      <c r="I916" s="12">
        <v>-12445</v>
      </c>
      <c r="J916" s="4">
        <v>1</v>
      </c>
      <c r="K916" s="4">
        <v>40000</v>
      </c>
    </row>
    <row r="917" spans="1:11">
      <c r="A917" s="4" t="str">
        <f t="shared" ref="A917:A920" si="616">"20170823"</f>
        <v>20170823</v>
      </c>
      <c r="B917" s="4" t="str">
        <f t="shared" ref="B917:B920" si="617">"20170823"</f>
        <v>20170823</v>
      </c>
      <c r="C917" s="4" t="str">
        <f>"基金申购拨出"</f>
        <v>基金申购拨出</v>
      </c>
      <c r="D917" s="4" t="str">
        <f>"AA0007"</f>
        <v>AA0007</v>
      </c>
      <c r="E917" s="4" t="str">
        <f>"银河水星1号集合"</f>
        <v>银河水星1号集合</v>
      </c>
      <c r="F917" s="4">
        <v>0</v>
      </c>
      <c r="G917" s="4">
        <v>0</v>
      </c>
      <c r="H917" s="4">
        <v>0</v>
      </c>
      <c r="I917" s="12">
        <v>-41396.61</v>
      </c>
      <c r="J917" s="4">
        <v>-41395.61</v>
      </c>
      <c r="K917" s="4">
        <v>0</v>
      </c>
    </row>
    <row r="918" spans="1:11">
      <c r="A918" s="4" t="str">
        <f t="shared" si="616"/>
        <v>20170823</v>
      </c>
      <c r="B918" s="4" t="str">
        <f t="shared" si="617"/>
        <v>20170823</v>
      </c>
      <c r="C918" s="4" t="str">
        <f t="shared" si="615"/>
        <v>证券卖出</v>
      </c>
      <c r="D918" s="4" t="str">
        <f>"150153"</f>
        <v>150153</v>
      </c>
      <c r="E918" s="4" t="str">
        <f>"创业板B"</f>
        <v>创业板B</v>
      </c>
      <c r="F918" s="4">
        <v>0.618</v>
      </c>
      <c r="G918" s="4">
        <v>40000</v>
      </c>
      <c r="H918" s="4">
        <v>24720</v>
      </c>
      <c r="I918" s="12">
        <v>24712.34</v>
      </c>
      <c r="J918" s="4">
        <v>-16683.27</v>
      </c>
      <c r="K918" s="4">
        <v>0</v>
      </c>
    </row>
    <row r="919" spans="1:11">
      <c r="A919" s="4" t="str">
        <f t="shared" si="616"/>
        <v>20170823</v>
      </c>
      <c r="B919" s="4" t="str">
        <f t="shared" si="617"/>
        <v>20170823</v>
      </c>
      <c r="C919" s="4" t="str">
        <f t="shared" si="615"/>
        <v>证券卖出</v>
      </c>
      <c r="D919" s="4" t="str">
        <f>"150182"</f>
        <v>150182</v>
      </c>
      <c r="E919" s="4" t="str">
        <f>"军工B"</f>
        <v>军工B</v>
      </c>
      <c r="F919" s="4">
        <v>0.843</v>
      </c>
      <c r="G919" s="4">
        <v>40000</v>
      </c>
      <c r="H919" s="4">
        <v>33720</v>
      </c>
      <c r="I919" s="12">
        <v>33709.55</v>
      </c>
      <c r="J919" s="4">
        <v>17026.28</v>
      </c>
      <c r="K919" s="4">
        <v>0</v>
      </c>
    </row>
    <row r="920" spans="1:11">
      <c r="A920" s="4" t="str">
        <f t="shared" si="616"/>
        <v>20170823</v>
      </c>
      <c r="B920" s="4" t="str">
        <f t="shared" si="617"/>
        <v>20170823</v>
      </c>
      <c r="C920" s="4" t="str">
        <f t="shared" ref="C920:C925" si="618">"证券买入"</f>
        <v>证券买入</v>
      </c>
      <c r="D920" s="4" t="str">
        <f>"150182"</f>
        <v>150182</v>
      </c>
      <c r="E920" s="4" t="str">
        <f>"军工B"</f>
        <v>军工B</v>
      </c>
      <c r="F920" s="4">
        <v>0.851</v>
      </c>
      <c r="G920" s="4">
        <v>20000</v>
      </c>
      <c r="H920" s="4">
        <v>17020</v>
      </c>
      <c r="I920" s="12">
        <v>-17025.28</v>
      </c>
      <c r="J920" s="4">
        <v>1</v>
      </c>
      <c r="K920" s="4">
        <v>20000</v>
      </c>
    </row>
    <row r="921" spans="1:11">
      <c r="A921" s="4" t="str">
        <f>"20170824"</f>
        <v>20170824</v>
      </c>
      <c r="B921" s="4" t="str">
        <f>"20170824"</f>
        <v>20170824</v>
      </c>
      <c r="C921" s="4" t="str">
        <f>"基金赎回拨入"</f>
        <v>基金赎回拨入</v>
      </c>
      <c r="D921" s="4" t="str">
        <f>"AA0007"</f>
        <v>AA0007</v>
      </c>
      <c r="E921" s="4" t="str">
        <f>"银河水星1号集合"</f>
        <v>银河水星1号集合</v>
      </c>
      <c r="F921" s="4">
        <v>0</v>
      </c>
      <c r="G921" s="4">
        <v>11375</v>
      </c>
      <c r="H921" s="4">
        <v>0</v>
      </c>
      <c r="I921" s="12">
        <v>11375.23</v>
      </c>
      <c r="J921" s="4">
        <v>11376.23</v>
      </c>
      <c r="K921" s="4">
        <v>0</v>
      </c>
    </row>
    <row r="922" spans="1:11">
      <c r="A922" s="4" t="str">
        <f>"20170824"</f>
        <v>20170824</v>
      </c>
      <c r="B922" s="4" t="str">
        <f>"20170824"</f>
        <v>20170824</v>
      </c>
      <c r="C922" s="4" t="str">
        <f t="shared" si="618"/>
        <v>证券买入</v>
      </c>
      <c r="D922" s="4" t="str">
        <f t="shared" ref="D922:D928" si="619">"600219"</f>
        <v>600219</v>
      </c>
      <c r="E922" s="4" t="str">
        <f t="shared" ref="E922:E928" si="620">"南山铝业"</f>
        <v>南山铝业</v>
      </c>
      <c r="F922" s="4">
        <v>3.79</v>
      </c>
      <c r="G922" s="4">
        <v>3000</v>
      </c>
      <c r="H922" s="4">
        <v>11370</v>
      </c>
      <c r="I922" s="12">
        <v>-11375.23</v>
      </c>
      <c r="J922" s="4">
        <v>1</v>
      </c>
      <c r="K922" s="4">
        <v>6250</v>
      </c>
    </row>
    <row r="923" spans="1:11">
      <c r="A923" s="4" t="str">
        <f t="shared" ref="A923:A925" si="621">"20170829"</f>
        <v>20170829</v>
      </c>
      <c r="B923" s="4" t="str">
        <f t="shared" ref="B923:B925" si="622">"20170829"</f>
        <v>20170829</v>
      </c>
      <c r="C923" s="4" t="str">
        <f>"基金赎回拨入"</f>
        <v>基金赎回拨入</v>
      </c>
      <c r="D923" s="4" t="str">
        <f>"AA0007"</f>
        <v>AA0007</v>
      </c>
      <c r="E923" s="4" t="str">
        <f>"银河水星1号集合"</f>
        <v>银河水星1号集合</v>
      </c>
      <c r="F923" s="4">
        <v>0</v>
      </c>
      <c r="G923" s="4">
        <v>31804</v>
      </c>
      <c r="H923" s="4">
        <v>0</v>
      </c>
      <c r="I923" s="12">
        <v>31804.54</v>
      </c>
      <c r="J923" s="4">
        <v>31805.54</v>
      </c>
      <c r="K923" s="4">
        <v>0</v>
      </c>
    </row>
    <row r="924" spans="1:11">
      <c r="A924" s="4" t="str">
        <f t="shared" si="621"/>
        <v>20170829</v>
      </c>
      <c r="B924" s="4" t="str">
        <f t="shared" si="622"/>
        <v>20170829</v>
      </c>
      <c r="C924" s="4" t="str">
        <f t="shared" si="618"/>
        <v>证券买入</v>
      </c>
      <c r="D924" s="4" t="str">
        <f>"150153"</f>
        <v>150153</v>
      </c>
      <c r="E924" s="4" t="str">
        <f>"创业板B"</f>
        <v>创业板B</v>
      </c>
      <c r="F924" s="4">
        <v>0.656</v>
      </c>
      <c r="G924" s="4">
        <v>20000</v>
      </c>
      <c r="H924" s="4">
        <v>13120</v>
      </c>
      <c r="I924" s="12">
        <v>-13125</v>
      </c>
      <c r="J924" s="4">
        <v>18680.54</v>
      </c>
      <c r="K924" s="4">
        <v>20000</v>
      </c>
    </row>
    <row r="925" spans="1:11">
      <c r="A925" s="4" t="str">
        <f t="shared" si="621"/>
        <v>20170829</v>
      </c>
      <c r="B925" s="4" t="str">
        <f t="shared" si="622"/>
        <v>20170829</v>
      </c>
      <c r="C925" s="4" t="str">
        <f t="shared" si="618"/>
        <v>证券买入</v>
      </c>
      <c r="D925" s="4" t="str">
        <f>"000601"</f>
        <v>000601</v>
      </c>
      <c r="E925" s="4" t="str">
        <f>"韶能股份"</f>
        <v>韶能股份</v>
      </c>
      <c r="F925" s="4">
        <v>7.34</v>
      </c>
      <c r="G925" s="4">
        <v>2500</v>
      </c>
      <c r="H925" s="4">
        <v>18350</v>
      </c>
      <c r="I925" s="12">
        <v>-18355.69</v>
      </c>
      <c r="J925" s="4">
        <v>324.85</v>
      </c>
      <c r="K925" s="4">
        <v>24700</v>
      </c>
    </row>
    <row r="926" spans="1:11">
      <c r="A926" s="4" t="str">
        <f t="shared" ref="A926:A928" si="623">"20170830"</f>
        <v>20170830</v>
      </c>
      <c r="B926" s="4" t="str">
        <f t="shared" ref="B926:B928" si="624">"0"</f>
        <v>0</v>
      </c>
      <c r="C926" s="4" t="str">
        <f t="shared" ref="C926:C928" si="625">"股息红利差异扣税"</f>
        <v>股息红利差异扣税</v>
      </c>
      <c r="D926" s="4" t="str">
        <f t="shared" si="619"/>
        <v>600219</v>
      </c>
      <c r="E926" s="4" t="str">
        <f t="shared" si="620"/>
        <v>南山铝业</v>
      </c>
      <c r="F926" s="4">
        <v>0</v>
      </c>
      <c r="G926" s="4">
        <v>0</v>
      </c>
      <c r="H926" s="4">
        <v>0</v>
      </c>
      <c r="I926" s="12">
        <v>-25</v>
      </c>
      <c r="J926" s="4">
        <v>299.85</v>
      </c>
      <c r="K926" s="4">
        <v>0</v>
      </c>
    </row>
    <row r="927" spans="1:11">
      <c r="A927" s="4" t="str">
        <f t="shared" si="623"/>
        <v>20170830</v>
      </c>
      <c r="B927" s="4" t="str">
        <f t="shared" si="624"/>
        <v>0</v>
      </c>
      <c r="C927" s="4" t="str">
        <f t="shared" si="625"/>
        <v>股息红利差异扣税</v>
      </c>
      <c r="D927" s="4" t="str">
        <f t="shared" si="619"/>
        <v>600219</v>
      </c>
      <c r="E927" s="4" t="str">
        <f t="shared" si="620"/>
        <v>南山铝业</v>
      </c>
      <c r="F927" s="4">
        <v>0</v>
      </c>
      <c r="G927" s="4">
        <v>0</v>
      </c>
      <c r="H927" s="4">
        <v>0</v>
      </c>
      <c r="I927" s="12">
        <v>-1.75</v>
      </c>
      <c r="J927" s="4">
        <v>298.1</v>
      </c>
      <c r="K927" s="4">
        <v>0</v>
      </c>
    </row>
    <row r="928" spans="1:11">
      <c r="A928" s="4" t="str">
        <f t="shared" si="623"/>
        <v>20170830</v>
      </c>
      <c r="B928" s="4" t="str">
        <f t="shared" si="624"/>
        <v>0</v>
      </c>
      <c r="C928" s="4" t="str">
        <f t="shared" si="625"/>
        <v>股息红利差异扣税</v>
      </c>
      <c r="D928" s="4" t="str">
        <f t="shared" si="619"/>
        <v>600219</v>
      </c>
      <c r="E928" s="4" t="str">
        <f t="shared" si="620"/>
        <v>南山铝业</v>
      </c>
      <c r="F928" s="4">
        <v>0</v>
      </c>
      <c r="G928" s="4">
        <v>0</v>
      </c>
      <c r="H928" s="4">
        <v>0</v>
      </c>
      <c r="I928" s="12">
        <v>-13.25</v>
      </c>
      <c r="J928" s="4">
        <v>284.85</v>
      </c>
      <c r="K928" s="4">
        <v>0</v>
      </c>
    </row>
    <row r="929" spans="1:11">
      <c r="A929" s="4" t="str">
        <f t="shared" ref="A929:A932" si="626">"20170831"</f>
        <v>20170831</v>
      </c>
      <c r="B929" s="4" t="str">
        <f t="shared" ref="B929:B932" si="627">"20170831"</f>
        <v>20170831</v>
      </c>
      <c r="C929" s="4" t="str">
        <f>"基金申购拨出"</f>
        <v>基金申购拨出</v>
      </c>
      <c r="D929" s="4" t="str">
        <f>"AA0007"</f>
        <v>AA0007</v>
      </c>
      <c r="E929" s="4" t="str">
        <f>"银河水星1号集合"</f>
        <v>银河水星1号集合</v>
      </c>
      <c r="F929" s="4">
        <v>0</v>
      </c>
      <c r="G929" s="4">
        <v>0</v>
      </c>
      <c r="H929" s="4">
        <v>0</v>
      </c>
      <c r="I929" s="12">
        <v>-12106.7</v>
      </c>
      <c r="J929" s="4">
        <v>-11821.85</v>
      </c>
      <c r="K929" s="4">
        <v>0</v>
      </c>
    </row>
    <row r="930" spans="1:11">
      <c r="A930" s="4" t="str">
        <f t="shared" si="626"/>
        <v>20170831</v>
      </c>
      <c r="B930" s="4" t="str">
        <f t="shared" si="627"/>
        <v>20170831</v>
      </c>
      <c r="C930" s="4" t="str">
        <f t="shared" ref="C930:C935" si="628">"证券卖出"</f>
        <v>证券卖出</v>
      </c>
      <c r="D930" s="4" t="str">
        <f t="shared" ref="D930:D934" si="629">"150153"</f>
        <v>150153</v>
      </c>
      <c r="E930" s="4" t="str">
        <f t="shared" ref="E930:E934" si="630">"创业板B"</f>
        <v>创业板B</v>
      </c>
      <c r="F930" s="4">
        <v>0.659</v>
      </c>
      <c r="G930" s="4">
        <v>20000</v>
      </c>
      <c r="H930" s="4">
        <v>13180</v>
      </c>
      <c r="I930" s="12">
        <v>13175</v>
      </c>
      <c r="J930" s="4">
        <v>1353.15</v>
      </c>
      <c r="K930" s="4">
        <v>0</v>
      </c>
    </row>
    <row r="931" spans="1:11">
      <c r="A931" s="4" t="str">
        <f t="shared" si="626"/>
        <v>20170831</v>
      </c>
      <c r="B931" s="4" t="str">
        <f t="shared" si="627"/>
        <v>20170831</v>
      </c>
      <c r="C931" s="4" t="str">
        <f t="shared" si="628"/>
        <v>证券卖出</v>
      </c>
      <c r="D931" s="4" t="str">
        <f>"600219"</f>
        <v>600219</v>
      </c>
      <c r="E931" s="4" t="str">
        <f>"南山铝业"</f>
        <v>南山铝业</v>
      </c>
      <c r="F931" s="4">
        <v>3.97</v>
      </c>
      <c r="G931" s="4">
        <v>3000</v>
      </c>
      <c r="H931" s="4">
        <v>11910</v>
      </c>
      <c r="I931" s="12">
        <v>11892.84</v>
      </c>
      <c r="J931" s="4">
        <v>13245.99</v>
      </c>
      <c r="K931" s="4">
        <v>3250</v>
      </c>
    </row>
    <row r="932" spans="1:11">
      <c r="A932" s="4" t="str">
        <f t="shared" si="626"/>
        <v>20170831</v>
      </c>
      <c r="B932" s="4" t="str">
        <f t="shared" si="627"/>
        <v>20170831</v>
      </c>
      <c r="C932" s="4" t="str">
        <f>"证券买入"</f>
        <v>证券买入</v>
      </c>
      <c r="D932" s="4" t="str">
        <f t="shared" si="629"/>
        <v>150153</v>
      </c>
      <c r="E932" s="4" t="str">
        <f t="shared" si="630"/>
        <v>创业板B</v>
      </c>
      <c r="F932" s="4">
        <v>0.662</v>
      </c>
      <c r="G932" s="4">
        <v>20000</v>
      </c>
      <c r="H932" s="4">
        <v>13240</v>
      </c>
      <c r="I932" s="12">
        <v>-13245</v>
      </c>
      <c r="J932" s="4">
        <v>0.99</v>
      </c>
      <c r="K932" s="4">
        <v>20000</v>
      </c>
    </row>
    <row r="933" spans="1:11">
      <c r="A933" s="4" t="str">
        <f>"20170906"</f>
        <v>20170906</v>
      </c>
      <c r="B933" s="4" t="str">
        <f>"20170906"</f>
        <v>20170906</v>
      </c>
      <c r="C933" s="4" t="str">
        <f>"基金申购拨出"</f>
        <v>基金申购拨出</v>
      </c>
      <c r="D933" s="4" t="str">
        <f>"AA0007"</f>
        <v>AA0007</v>
      </c>
      <c r="E933" s="4" t="str">
        <f>"银河水星1号集合"</f>
        <v>银河水星1号集合</v>
      </c>
      <c r="F933" s="4">
        <v>0</v>
      </c>
      <c r="G933" s="4">
        <v>0</v>
      </c>
      <c r="H933" s="4">
        <v>0</v>
      </c>
      <c r="I933" s="12">
        <v>-13634.99</v>
      </c>
      <c r="J933" s="4">
        <v>-13634</v>
      </c>
      <c r="K933" s="4">
        <v>0</v>
      </c>
    </row>
    <row r="934" spans="1:11">
      <c r="A934" s="4" t="str">
        <f>"20170906"</f>
        <v>20170906</v>
      </c>
      <c r="B934" s="4" t="str">
        <f>"20170906"</f>
        <v>20170906</v>
      </c>
      <c r="C934" s="4" t="str">
        <f t="shared" si="628"/>
        <v>证券卖出</v>
      </c>
      <c r="D934" s="4" t="str">
        <f t="shared" si="629"/>
        <v>150153</v>
      </c>
      <c r="E934" s="4" t="str">
        <f t="shared" si="630"/>
        <v>创业板B</v>
      </c>
      <c r="F934" s="4">
        <v>0.682</v>
      </c>
      <c r="G934" s="4">
        <v>20000</v>
      </c>
      <c r="H934" s="4">
        <v>13640</v>
      </c>
      <c r="I934" s="12">
        <v>13635</v>
      </c>
      <c r="J934" s="4">
        <v>1</v>
      </c>
      <c r="K934" s="4">
        <v>0</v>
      </c>
    </row>
    <row r="935" spans="1:11">
      <c r="A935" s="4" t="str">
        <f>"20170907"</f>
        <v>20170907</v>
      </c>
      <c r="B935" s="4" t="str">
        <f>"20170907"</f>
        <v>20170907</v>
      </c>
      <c r="C935" s="4" t="str">
        <f t="shared" si="628"/>
        <v>证券卖出</v>
      </c>
      <c r="D935" s="4" t="str">
        <f>"150182"</f>
        <v>150182</v>
      </c>
      <c r="E935" s="4" t="str">
        <f>"军工B"</f>
        <v>军工B</v>
      </c>
      <c r="F935" s="4">
        <v>0.887</v>
      </c>
      <c r="G935" s="4">
        <v>20000</v>
      </c>
      <c r="H935" s="4">
        <v>17740</v>
      </c>
      <c r="I935" s="12">
        <v>17734.5</v>
      </c>
      <c r="J935" s="4">
        <v>17735.5</v>
      </c>
      <c r="K935" s="4">
        <v>0</v>
      </c>
    </row>
    <row r="936" spans="1:11">
      <c r="A936" s="4" t="str">
        <f>"20170907"</f>
        <v>20170907</v>
      </c>
      <c r="B936" s="4" t="str">
        <f>"20170907"</f>
        <v>20170907</v>
      </c>
      <c r="C936" s="4" t="str">
        <f>"证券买入"</f>
        <v>证券买入</v>
      </c>
      <c r="D936" s="4" t="str">
        <f>"150182"</f>
        <v>150182</v>
      </c>
      <c r="E936" s="4" t="str">
        <f>"军工B"</f>
        <v>军工B</v>
      </c>
      <c r="F936" s="4">
        <v>0.879</v>
      </c>
      <c r="G936" s="4">
        <v>20000</v>
      </c>
      <c r="H936" s="4">
        <v>17580</v>
      </c>
      <c r="I936" s="12">
        <v>-17585.45</v>
      </c>
      <c r="J936" s="4">
        <v>150.05</v>
      </c>
      <c r="K936" s="4">
        <v>20000</v>
      </c>
    </row>
    <row r="937" spans="1:11">
      <c r="A937" s="4" t="str">
        <f>"20170908"</f>
        <v>20170908</v>
      </c>
      <c r="B937" s="4" t="str">
        <f>"0"</f>
        <v>0</v>
      </c>
      <c r="C937" s="4" t="str">
        <f>"股息红利差异扣税"</f>
        <v>股息红利差异扣税</v>
      </c>
      <c r="D937" s="4" t="str">
        <f>"600219"</f>
        <v>600219</v>
      </c>
      <c r="E937" s="4" t="str">
        <f>"南山铝业"</f>
        <v>南山铝业</v>
      </c>
      <c r="F937" s="4">
        <v>0</v>
      </c>
      <c r="G937" s="4">
        <v>0</v>
      </c>
      <c r="H937" s="4">
        <v>0</v>
      </c>
      <c r="I937" s="12">
        <v>-1.25</v>
      </c>
      <c r="J937" s="4">
        <v>148.8</v>
      </c>
      <c r="K937" s="4">
        <v>0</v>
      </c>
    </row>
    <row r="938" spans="1:11">
      <c r="A938" s="4" t="str">
        <f>"20170908"</f>
        <v>20170908</v>
      </c>
      <c r="B938" s="4" t="str">
        <f>"0"</f>
        <v>0</v>
      </c>
      <c r="C938" s="4" t="str">
        <f>"股息红利差异扣税"</f>
        <v>股息红利差异扣税</v>
      </c>
      <c r="D938" s="4" t="str">
        <f>"600219"</f>
        <v>600219</v>
      </c>
      <c r="E938" s="4" t="str">
        <f>"南山铝业"</f>
        <v>南山铝业</v>
      </c>
      <c r="F938" s="4">
        <v>0</v>
      </c>
      <c r="G938" s="4">
        <v>0</v>
      </c>
      <c r="H938" s="4">
        <v>0</v>
      </c>
      <c r="I938" s="12">
        <v>-13.75</v>
      </c>
      <c r="J938" s="4">
        <v>135.05</v>
      </c>
      <c r="K938" s="4">
        <v>0</v>
      </c>
    </row>
    <row r="939" spans="1:11">
      <c r="A939" s="4" t="str">
        <f>"20170911"</f>
        <v>20170911</v>
      </c>
      <c r="B939" s="4" t="str">
        <f>"20170911"</f>
        <v>20170911</v>
      </c>
      <c r="C939" s="4" t="str">
        <f>"基金赎回拨入"</f>
        <v>基金赎回拨入</v>
      </c>
      <c r="D939" s="4" t="str">
        <f t="shared" ref="D939:D943" si="631">"AA0007"</f>
        <v>AA0007</v>
      </c>
      <c r="E939" s="4" t="str">
        <f t="shared" ref="E939:E943" si="632">"银河水星1号集合"</f>
        <v>银河水星1号集合</v>
      </c>
      <c r="F939" s="4">
        <v>0</v>
      </c>
      <c r="G939" s="4">
        <v>13330</v>
      </c>
      <c r="H939" s="4">
        <v>0</v>
      </c>
      <c r="I939" s="12">
        <v>13330.95</v>
      </c>
      <c r="J939" s="4">
        <v>13466</v>
      </c>
      <c r="K939" s="4">
        <v>0</v>
      </c>
    </row>
    <row r="940" spans="1:11">
      <c r="A940" s="4" t="str">
        <f>"20170911"</f>
        <v>20170911</v>
      </c>
      <c r="B940" s="4" t="str">
        <f>"20170911"</f>
        <v>20170911</v>
      </c>
      <c r="C940" s="4" t="str">
        <f>"证券买入"</f>
        <v>证券买入</v>
      </c>
      <c r="D940" s="4" t="str">
        <f>"150153"</f>
        <v>150153</v>
      </c>
      <c r="E940" s="4" t="str">
        <f>"创业板B"</f>
        <v>创业板B</v>
      </c>
      <c r="F940" s="4">
        <v>0.673</v>
      </c>
      <c r="G940" s="4">
        <v>20000</v>
      </c>
      <c r="H940" s="4">
        <v>13460</v>
      </c>
      <c r="I940" s="12">
        <v>-13465</v>
      </c>
      <c r="J940" s="4">
        <v>1</v>
      </c>
      <c r="K940" s="4">
        <v>20000</v>
      </c>
    </row>
    <row r="941" spans="1:11">
      <c r="A941" s="4" t="str">
        <f>"20170912"</f>
        <v>20170912</v>
      </c>
      <c r="B941" s="4" t="str">
        <f>"20170912"</f>
        <v>20170912</v>
      </c>
      <c r="C941" s="4" t="str">
        <f>"基金申购拨出"</f>
        <v>基金申购拨出</v>
      </c>
      <c r="D941" s="4" t="str">
        <f t="shared" si="631"/>
        <v>AA0007</v>
      </c>
      <c r="E941" s="4" t="str">
        <f t="shared" si="632"/>
        <v>银河水星1号集合</v>
      </c>
      <c r="F941" s="4">
        <v>0</v>
      </c>
      <c r="G941" s="4">
        <v>0</v>
      </c>
      <c r="H941" s="4">
        <v>0</v>
      </c>
      <c r="I941" s="12">
        <v>-13615</v>
      </c>
      <c r="J941" s="4">
        <v>-13614</v>
      </c>
      <c r="K941" s="4">
        <v>0</v>
      </c>
    </row>
    <row r="942" spans="1:11">
      <c r="A942" s="4" t="str">
        <f>"20170912"</f>
        <v>20170912</v>
      </c>
      <c r="B942" s="4" t="str">
        <f>"20170912"</f>
        <v>20170912</v>
      </c>
      <c r="C942" s="4" t="str">
        <f t="shared" ref="C942:C947" si="633">"证券卖出"</f>
        <v>证券卖出</v>
      </c>
      <c r="D942" s="4" t="str">
        <f>"150153"</f>
        <v>150153</v>
      </c>
      <c r="E942" s="4" t="str">
        <f>"创业板B"</f>
        <v>创业板B</v>
      </c>
      <c r="F942" s="4">
        <v>0.681</v>
      </c>
      <c r="G942" s="4">
        <v>20000</v>
      </c>
      <c r="H942" s="4">
        <v>13620</v>
      </c>
      <c r="I942" s="12">
        <v>13615</v>
      </c>
      <c r="J942" s="4">
        <v>1</v>
      </c>
      <c r="K942" s="4">
        <v>0</v>
      </c>
    </row>
    <row r="943" spans="1:11">
      <c r="A943" s="4" t="str">
        <f>"20170913"</f>
        <v>20170913</v>
      </c>
      <c r="B943" s="4" t="str">
        <f>"20170913"</f>
        <v>20170913</v>
      </c>
      <c r="C943" s="4" t="str">
        <f>"基金申购拨出"</f>
        <v>基金申购拨出</v>
      </c>
      <c r="D943" s="4" t="str">
        <f t="shared" si="631"/>
        <v>AA0007</v>
      </c>
      <c r="E943" s="4" t="str">
        <f t="shared" si="632"/>
        <v>银河水星1号集合</v>
      </c>
      <c r="F943" s="4">
        <v>0</v>
      </c>
      <c r="G943" s="4">
        <v>0</v>
      </c>
      <c r="H943" s="4">
        <v>0</v>
      </c>
      <c r="I943" s="12">
        <v>-19374.59</v>
      </c>
      <c r="J943" s="4">
        <v>-19373.59</v>
      </c>
      <c r="K943" s="4">
        <v>0</v>
      </c>
    </row>
    <row r="944" spans="1:11">
      <c r="A944" s="4" t="str">
        <f>"20170913"</f>
        <v>20170913</v>
      </c>
      <c r="B944" s="4" t="str">
        <f>"20170913"</f>
        <v>20170913</v>
      </c>
      <c r="C944" s="4" t="str">
        <f t="shared" si="633"/>
        <v>证券卖出</v>
      </c>
      <c r="D944" s="4" t="str">
        <f>"000601"</f>
        <v>000601</v>
      </c>
      <c r="E944" s="4" t="str">
        <f>"韶能股份"</f>
        <v>韶能股份</v>
      </c>
      <c r="F944" s="4">
        <v>7.76</v>
      </c>
      <c r="G944" s="4">
        <v>2500</v>
      </c>
      <c r="H944" s="4">
        <v>19400</v>
      </c>
      <c r="I944" s="12">
        <v>19374.59</v>
      </c>
      <c r="J944" s="4">
        <v>1</v>
      </c>
      <c r="K944" s="4">
        <v>22200</v>
      </c>
    </row>
    <row r="945" spans="1:11">
      <c r="A945" s="4" t="str">
        <f>"20170918"</f>
        <v>20170918</v>
      </c>
      <c r="B945" s="4" t="str">
        <f>"20170918"</f>
        <v>20170918</v>
      </c>
      <c r="C945" s="4" t="str">
        <f>"基金赎回拨入"</f>
        <v>基金赎回拨入</v>
      </c>
      <c r="D945" s="4" t="str">
        <f>"AA0007"</f>
        <v>AA0007</v>
      </c>
      <c r="E945" s="4" t="str">
        <f>"银河水星1号集合"</f>
        <v>银河水星1号集合</v>
      </c>
      <c r="F945" s="4">
        <v>0</v>
      </c>
      <c r="G945" s="4">
        <v>17685</v>
      </c>
      <c r="H945" s="4">
        <v>0</v>
      </c>
      <c r="I945" s="12">
        <v>17685.48</v>
      </c>
      <c r="J945" s="4">
        <v>17686.48</v>
      </c>
      <c r="K945" s="4">
        <v>0</v>
      </c>
    </row>
    <row r="946" spans="1:11">
      <c r="A946" s="4" t="str">
        <f>"20170918"</f>
        <v>20170918</v>
      </c>
      <c r="B946" s="4" t="str">
        <f>"20170918"</f>
        <v>20170918</v>
      </c>
      <c r="C946" s="4" t="str">
        <f>"证券买入"</f>
        <v>证券买入</v>
      </c>
      <c r="D946" s="4" t="str">
        <f t="shared" ref="D946:D948" si="634">"150182"</f>
        <v>150182</v>
      </c>
      <c r="E946" s="4" t="str">
        <f t="shared" ref="E946:E948" si="635">"军工B"</f>
        <v>军工B</v>
      </c>
      <c r="F946" s="4">
        <v>0.884</v>
      </c>
      <c r="G946" s="4">
        <v>20000</v>
      </c>
      <c r="H946" s="4">
        <v>17680</v>
      </c>
      <c r="I946" s="12">
        <v>-17685.48</v>
      </c>
      <c r="J946" s="4">
        <v>1</v>
      </c>
      <c r="K946" s="4">
        <v>40000</v>
      </c>
    </row>
    <row r="947" spans="1:11">
      <c r="A947" s="4" t="str">
        <f>"20170919"</f>
        <v>20170919</v>
      </c>
      <c r="B947" s="4" t="str">
        <f>"20170919"</f>
        <v>20170919</v>
      </c>
      <c r="C947" s="4" t="str">
        <f t="shared" si="633"/>
        <v>证券卖出</v>
      </c>
      <c r="D947" s="4" t="str">
        <f t="shared" si="634"/>
        <v>150182</v>
      </c>
      <c r="E947" s="4" t="str">
        <f t="shared" si="635"/>
        <v>军工B</v>
      </c>
      <c r="F947" s="4">
        <v>0.887</v>
      </c>
      <c r="G947" s="4">
        <v>20000</v>
      </c>
      <c r="H947" s="4">
        <v>17740</v>
      </c>
      <c r="I947" s="12">
        <v>17734.5</v>
      </c>
      <c r="J947" s="4">
        <v>17735.5</v>
      </c>
      <c r="K947" s="4">
        <v>20000</v>
      </c>
    </row>
    <row r="948" spans="1:11">
      <c r="A948" s="4" t="str">
        <f>"20170919"</f>
        <v>20170919</v>
      </c>
      <c r="B948" s="4" t="str">
        <f>"20170919"</f>
        <v>20170919</v>
      </c>
      <c r="C948" s="4" t="str">
        <f>"证券买入"</f>
        <v>证券买入</v>
      </c>
      <c r="D948" s="4" t="str">
        <f t="shared" si="634"/>
        <v>150182</v>
      </c>
      <c r="E948" s="4" t="str">
        <f t="shared" si="635"/>
        <v>军工B</v>
      </c>
      <c r="F948" s="4">
        <v>0.883</v>
      </c>
      <c r="G948" s="4">
        <v>20000</v>
      </c>
      <c r="H948" s="4">
        <v>17660</v>
      </c>
      <c r="I948" s="12">
        <v>-17665.47</v>
      </c>
      <c r="J948" s="4">
        <v>70.03</v>
      </c>
      <c r="K948" s="4">
        <v>40000</v>
      </c>
    </row>
    <row r="949" spans="1:11">
      <c r="A949" s="4" t="str">
        <f t="shared" ref="A949:A953" si="636">"20170920"</f>
        <v>20170920</v>
      </c>
      <c r="B949" s="4" t="str">
        <f>"0"</f>
        <v>0</v>
      </c>
      <c r="C949" s="4" t="str">
        <f>"股息红利差异扣税"</f>
        <v>股息红利差异扣税</v>
      </c>
      <c r="D949" s="4" t="str">
        <f>"000601"</f>
        <v>000601</v>
      </c>
      <c r="E949" s="4" t="str">
        <f>"韶能股份"</f>
        <v>韶能股份</v>
      </c>
      <c r="F949" s="4">
        <v>0</v>
      </c>
      <c r="G949" s="4">
        <v>0</v>
      </c>
      <c r="H949" s="4">
        <v>0</v>
      </c>
      <c r="I949" s="12">
        <v>-50</v>
      </c>
      <c r="J949" s="4">
        <v>20.03</v>
      </c>
      <c r="K949" s="4">
        <v>0</v>
      </c>
    </row>
    <row r="950" spans="1:11">
      <c r="A950" s="4" t="str">
        <f t="shared" si="636"/>
        <v>20170920</v>
      </c>
      <c r="B950" s="4" t="str">
        <f t="shared" ref="B950:B953" si="637">"20170920"</f>
        <v>20170920</v>
      </c>
      <c r="C950" s="4" t="str">
        <f>"利息归本"</f>
        <v>利息归本</v>
      </c>
      <c r="D950" s="4"/>
      <c r="E950" s="4"/>
      <c r="F950" s="4">
        <v>0</v>
      </c>
      <c r="G950" s="4">
        <v>0</v>
      </c>
      <c r="H950" s="4">
        <v>0</v>
      </c>
      <c r="I950" s="12">
        <v>2.8</v>
      </c>
      <c r="J950" s="4">
        <v>22.83</v>
      </c>
      <c r="K950" s="4">
        <v>0</v>
      </c>
    </row>
    <row r="951" spans="1:11">
      <c r="A951" s="4" t="str">
        <f t="shared" si="636"/>
        <v>20170920</v>
      </c>
      <c r="B951" s="4" t="str">
        <f t="shared" si="637"/>
        <v>20170920</v>
      </c>
      <c r="C951" s="4" t="str">
        <f>"基金申购拨出"</f>
        <v>基金申购拨出</v>
      </c>
      <c r="D951" s="4" t="str">
        <f t="shared" ref="D951:D955" si="638">"AA0007"</f>
        <v>AA0007</v>
      </c>
      <c r="E951" s="4" t="str">
        <f t="shared" ref="E951:E955" si="639">"银河水星1号集合"</f>
        <v>银河水星1号集合</v>
      </c>
      <c r="F951" s="4">
        <v>0</v>
      </c>
      <c r="G951" s="4">
        <v>0</v>
      </c>
      <c r="H951" s="4">
        <v>0</v>
      </c>
      <c r="I951" s="12">
        <v>-22202.99</v>
      </c>
      <c r="J951" s="4">
        <v>-22180.16</v>
      </c>
      <c r="K951" s="4">
        <v>0</v>
      </c>
    </row>
    <row r="952" spans="1:11">
      <c r="A952" s="4" t="str">
        <f t="shared" si="636"/>
        <v>20170920</v>
      </c>
      <c r="B952" s="4" t="str">
        <f t="shared" si="637"/>
        <v>20170920</v>
      </c>
      <c r="C952" s="4" t="str">
        <f>"证券卖出"</f>
        <v>证券卖出</v>
      </c>
      <c r="D952" s="4" t="str">
        <f>"150182"</f>
        <v>150182</v>
      </c>
      <c r="E952" s="4" t="str">
        <f>"军工B"</f>
        <v>军工B</v>
      </c>
      <c r="F952" s="4">
        <v>0.89</v>
      </c>
      <c r="G952" s="4">
        <v>40000</v>
      </c>
      <c r="H952" s="4">
        <v>35600</v>
      </c>
      <c r="I952" s="12">
        <v>35588.96</v>
      </c>
      <c r="J952" s="4">
        <v>13408.8</v>
      </c>
      <c r="K952" s="4">
        <v>0</v>
      </c>
    </row>
    <row r="953" spans="1:11">
      <c r="A953" s="4" t="str">
        <f t="shared" si="636"/>
        <v>20170920</v>
      </c>
      <c r="B953" s="4" t="str">
        <f t="shared" si="637"/>
        <v>20170920</v>
      </c>
      <c r="C953" s="4" t="str">
        <f>"证券买入"</f>
        <v>证券买入</v>
      </c>
      <c r="D953" s="4" t="str">
        <f>"150153"</f>
        <v>150153</v>
      </c>
      <c r="E953" s="4" t="str">
        <f>"创业板B"</f>
        <v>创业板B</v>
      </c>
      <c r="F953" s="4">
        <v>0.67</v>
      </c>
      <c r="G953" s="4">
        <v>20000</v>
      </c>
      <c r="H953" s="4">
        <v>13400</v>
      </c>
      <c r="I953" s="12">
        <v>-13405</v>
      </c>
      <c r="J953" s="4">
        <v>3.8</v>
      </c>
      <c r="K953" s="4">
        <v>20000</v>
      </c>
    </row>
    <row r="954" spans="1:11">
      <c r="A954" s="4" t="str">
        <f t="shared" ref="A954:A956" si="640">"20170921"</f>
        <v>20170921</v>
      </c>
      <c r="B954" s="4" t="str">
        <f>"0"</f>
        <v>0</v>
      </c>
      <c r="C954" s="4" t="str">
        <f>"基金红利拨入"</f>
        <v>基金红利拨入</v>
      </c>
      <c r="D954" s="4" t="str">
        <f t="shared" si="638"/>
        <v>AA0007</v>
      </c>
      <c r="E954" s="4" t="str">
        <f t="shared" si="639"/>
        <v>银河水星1号集合</v>
      </c>
      <c r="F954" s="4">
        <v>0</v>
      </c>
      <c r="G954" s="4">
        <v>0</v>
      </c>
      <c r="H954" s="4">
        <v>101.43</v>
      </c>
      <c r="I954" s="12">
        <v>101.43</v>
      </c>
      <c r="J954" s="4">
        <v>105.23</v>
      </c>
      <c r="K954" s="4">
        <v>0</v>
      </c>
    </row>
    <row r="955" spans="1:11">
      <c r="A955" s="4" t="str">
        <f t="shared" si="640"/>
        <v>20170921</v>
      </c>
      <c r="B955" s="4" t="str">
        <f>"20170921"</f>
        <v>20170921</v>
      </c>
      <c r="C955" s="4" t="str">
        <f>"基金申购拨出"</f>
        <v>基金申购拨出</v>
      </c>
      <c r="D955" s="4" t="str">
        <f t="shared" si="638"/>
        <v>AA0007</v>
      </c>
      <c r="E955" s="4" t="str">
        <f t="shared" si="639"/>
        <v>银河水星1号集合</v>
      </c>
      <c r="F955" s="4">
        <v>0</v>
      </c>
      <c r="G955" s="4">
        <v>0</v>
      </c>
      <c r="H955" s="4">
        <v>0</v>
      </c>
      <c r="I955" s="12">
        <v>-13557.8</v>
      </c>
      <c r="J955" s="4">
        <v>-13452.57</v>
      </c>
      <c r="K955" s="4">
        <v>0</v>
      </c>
    </row>
    <row r="956" spans="1:11">
      <c r="A956" s="4" t="str">
        <f t="shared" si="640"/>
        <v>20170921</v>
      </c>
      <c r="B956" s="4" t="str">
        <f>"20170921"</f>
        <v>20170921</v>
      </c>
      <c r="C956" s="4" t="str">
        <f>"证券卖出"</f>
        <v>证券卖出</v>
      </c>
      <c r="D956" s="4" t="str">
        <f>"150153"</f>
        <v>150153</v>
      </c>
      <c r="E956" s="4" t="str">
        <f>"创业板B"</f>
        <v>创业板B</v>
      </c>
      <c r="F956" s="4">
        <v>0.678</v>
      </c>
      <c r="G956" s="4">
        <v>20000</v>
      </c>
      <c r="H956" s="4">
        <v>13560</v>
      </c>
      <c r="I956" s="12">
        <v>13555</v>
      </c>
      <c r="J956" s="4">
        <v>102.43</v>
      </c>
      <c r="K956" s="4">
        <v>0</v>
      </c>
    </row>
    <row r="957" spans="1:11">
      <c r="A957" s="4" t="str">
        <f>"20170922"</f>
        <v>20170922</v>
      </c>
      <c r="B957" s="4" t="str">
        <f>"20170922"</f>
        <v>20170922</v>
      </c>
      <c r="C957" s="4" t="str">
        <f>"基金赎回拨入"</f>
        <v>基金赎回拨入</v>
      </c>
      <c r="D957" s="4" t="str">
        <f t="shared" ref="D957:D961" si="641">"AA0007"</f>
        <v>AA0007</v>
      </c>
      <c r="E957" s="4" t="str">
        <f t="shared" ref="E957:E961" si="642">"银河水星1号集合"</f>
        <v>银河水星1号集合</v>
      </c>
      <c r="F957" s="4">
        <v>0</v>
      </c>
      <c r="G957" s="4">
        <v>18654</v>
      </c>
      <c r="H957" s="4">
        <v>0</v>
      </c>
      <c r="I957" s="12">
        <v>18654.38</v>
      </c>
      <c r="J957" s="4">
        <v>18756.81</v>
      </c>
      <c r="K957" s="4">
        <v>0</v>
      </c>
    </row>
    <row r="958" spans="1:11">
      <c r="A958" s="4" t="str">
        <f>"20170922"</f>
        <v>20170922</v>
      </c>
      <c r="B958" s="4" t="str">
        <f>"20170922"</f>
        <v>20170922</v>
      </c>
      <c r="C958" s="4" t="str">
        <f>"证券买入"</f>
        <v>证券买入</v>
      </c>
      <c r="D958" s="4" t="str">
        <f>"000601"</f>
        <v>000601</v>
      </c>
      <c r="E958" s="4" t="str">
        <f>"韶能股份"</f>
        <v>韶能股份</v>
      </c>
      <c r="F958" s="4">
        <v>7.5</v>
      </c>
      <c r="G958" s="4">
        <v>2500</v>
      </c>
      <c r="H958" s="4">
        <v>18750</v>
      </c>
      <c r="I958" s="12">
        <v>-18755.81</v>
      </c>
      <c r="J958" s="4">
        <v>1</v>
      </c>
      <c r="K958" s="4">
        <v>24700</v>
      </c>
    </row>
    <row r="959" spans="1:11">
      <c r="A959" s="4" t="str">
        <f>"20170925"</f>
        <v>20170925</v>
      </c>
      <c r="B959" s="4" t="str">
        <f t="shared" ref="B959:B964" si="643">"20170925"</f>
        <v>20170925</v>
      </c>
      <c r="C959" s="4" t="str">
        <f>"基金赎回拨入"</f>
        <v>基金赎回拨入</v>
      </c>
      <c r="D959" s="4" t="str">
        <f t="shared" si="641"/>
        <v>AA0007</v>
      </c>
      <c r="E959" s="4" t="str">
        <f t="shared" si="642"/>
        <v>银河水星1号集合</v>
      </c>
      <c r="F959" s="4">
        <v>0</v>
      </c>
      <c r="G959" s="4">
        <v>13165</v>
      </c>
      <c r="H959" s="4">
        <v>0</v>
      </c>
      <c r="I959" s="12">
        <v>13165</v>
      </c>
      <c r="J959" s="4">
        <v>13166</v>
      </c>
      <c r="K959" s="4">
        <v>0</v>
      </c>
    </row>
    <row r="960" spans="1:11">
      <c r="A960" s="4" t="str">
        <f>"20170925"</f>
        <v>20170925</v>
      </c>
      <c r="B960" s="4" t="str">
        <f t="shared" si="643"/>
        <v>20170925</v>
      </c>
      <c r="C960" s="4" t="str">
        <f>"证券买入"</f>
        <v>证券买入</v>
      </c>
      <c r="D960" s="4" t="str">
        <f>"150153"</f>
        <v>150153</v>
      </c>
      <c r="E960" s="4" t="str">
        <f>"创业板B"</f>
        <v>创业板B</v>
      </c>
      <c r="F960" s="4">
        <v>0.658</v>
      </c>
      <c r="G960" s="4">
        <v>20000</v>
      </c>
      <c r="H960" s="4">
        <v>13160</v>
      </c>
      <c r="I960" s="12">
        <v>-13165</v>
      </c>
      <c r="J960" s="4">
        <v>1</v>
      </c>
      <c r="K960" s="4">
        <v>20000</v>
      </c>
    </row>
    <row r="961" spans="1:11">
      <c r="A961" s="4" t="str">
        <f>"20170926"</f>
        <v>20170926</v>
      </c>
      <c r="B961" s="4" t="str">
        <f>"20170926"</f>
        <v>20170926</v>
      </c>
      <c r="C961" s="4" t="str">
        <f>"基金申购拨出"</f>
        <v>基金申购拨出</v>
      </c>
      <c r="D961" s="4" t="str">
        <f t="shared" si="641"/>
        <v>AA0007</v>
      </c>
      <c r="E961" s="4" t="str">
        <f t="shared" si="642"/>
        <v>银河水星1号集合</v>
      </c>
      <c r="F961" s="4">
        <v>0</v>
      </c>
      <c r="G961" s="4">
        <v>0</v>
      </c>
      <c r="H961" s="4">
        <v>0</v>
      </c>
      <c r="I961" s="12">
        <v>-12635</v>
      </c>
      <c r="J961" s="4">
        <v>-12634</v>
      </c>
      <c r="K961" s="4">
        <v>0</v>
      </c>
    </row>
    <row r="962" spans="1:11">
      <c r="A962" s="4" t="str">
        <f>"20170926"</f>
        <v>20170926</v>
      </c>
      <c r="B962" s="4" t="str">
        <f>"20170926"</f>
        <v>20170926</v>
      </c>
      <c r="C962" s="4" t="str">
        <f>"证券卖出"</f>
        <v>证券卖出</v>
      </c>
      <c r="D962" s="4" t="str">
        <f>"150153"</f>
        <v>150153</v>
      </c>
      <c r="E962" s="4" t="str">
        <f>"创业板B"</f>
        <v>创业板B</v>
      </c>
      <c r="F962" s="4">
        <v>0.632</v>
      </c>
      <c r="G962" s="4">
        <v>20000</v>
      </c>
      <c r="H962" s="4">
        <v>12640</v>
      </c>
      <c r="I962" s="12">
        <v>12635</v>
      </c>
      <c r="J962" s="4">
        <v>1</v>
      </c>
      <c r="K962" s="4">
        <v>0</v>
      </c>
    </row>
    <row r="963" spans="1:11">
      <c r="A963" s="4" t="str">
        <f>"20170927"</f>
        <v>20170927</v>
      </c>
      <c r="B963" s="4" t="str">
        <f>"20170927"</f>
        <v>20170927</v>
      </c>
      <c r="C963" s="4" t="str">
        <f>"基金赎回拨入"</f>
        <v>基金赎回拨入</v>
      </c>
      <c r="D963" s="4" t="str">
        <f t="shared" ref="D963:D968" si="644">"AA0007"</f>
        <v>AA0007</v>
      </c>
      <c r="E963" s="4" t="str">
        <f t="shared" ref="E963:E968" si="645">"银河水星1号集合"</f>
        <v>银河水星1号集合</v>
      </c>
      <c r="F963" s="4">
        <v>0</v>
      </c>
      <c r="G963" s="4">
        <v>999</v>
      </c>
      <c r="H963" s="4">
        <v>0</v>
      </c>
      <c r="I963" s="12">
        <v>999</v>
      </c>
      <c r="J963" s="4">
        <v>1000</v>
      </c>
      <c r="K963" s="4">
        <v>0</v>
      </c>
    </row>
    <row r="964" spans="1:11">
      <c r="A964" s="4" t="str">
        <f>"20170927"</f>
        <v>20170927</v>
      </c>
      <c r="B964" s="4" t="str">
        <f t="shared" si="643"/>
        <v>20170925</v>
      </c>
      <c r="C964" s="4" t="str">
        <f>"配售缴款"</f>
        <v>配售缴款</v>
      </c>
      <c r="D964" s="4" t="str">
        <f>"072271"</f>
        <v>072271</v>
      </c>
      <c r="E964" s="4" t="str">
        <f>"雨虹发债"</f>
        <v>雨虹发债</v>
      </c>
      <c r="F964" s="4">
        <v>100</v>
      </c>
      <c r="G964" s="4">
        <v>10</v>
      </c>
      <c r="H964" s="4">
        <v>1000</v>
      </c>
      <c r="I964" s="12">
        <v>-1000</v>
      </c>
      <c r="J964" s="4">
        <v>0</v>
      </c>
      <c r="K964" s="4">
        <v>0</v>
      </c>
    </row>
    <row r="965" spans="1:11">
      <c r="A965" s="4" t="str">
        <f t="shared" ref="A965:A967" si="646">"20170928"</f>
        <v>20170928</v>
      </c>
      <c r="B965" s="4" t="str">
        <f t="shared" ref="B965:B969" si="647">"20170928"</f>
        <v>20170928</v>
      </c>
      <c r="C965" s="4" t="str">
        <f>"基金赎回拨入"</f>
        <v>基金赎回拨入</v>
      </c>
      <c r="D965" s="4" t="str">
        <f t="shared" si="644"/>
        <v>AA0007</v>
      </c>
      <c r="E965" s="4" t="str">
        <f t="shared" si="645"/>
        <v>银河水星1号集合</v>
      </c>
      <c r="F965" s="4">
        <v>0</v>
      </c>
      <c r="G965" s="4">
        <v>43292</v>
      </c>
      <c r="H965" s="4">
        <v>0</v>
      </c>
      <c r="I965" s="12">
        <v>43292.26</v>
      </c>
      <c r="J965" s="4">
        <v>43292.26</v>
      </c>
      <c r="K965" s="4">
        <v>0</v>
      </c>
    </row>
    <row r="966" spans="1:11">
      <c r="A966" s="4" t="str">
        <f t="shared" si="646"/>
        <v>20170928</v>
      </c>
      <c r="B966" s="4" t="str">
        <f>"20170925"</f>
        <v>20170925</v>
      </c>
      <c r="C966" s="4" t="str">
        <f>"配售股份"</f>
        <v>配售股份</v>
      </c>
      <c r="D966" s="4" t="str">
        <f>"072271"</f>
        <v>072271</v>
      </c>
      <c r="E966" s="4" t="str">
        <f>"雨虹发债"</f>
        <v>雨虹发债</v>
      </c>
      <c r="F966" s="4">
        <v>100</v>
      </c>
      <c r="G966" s="4">
        <v>10</v>
      </c>
      <c r="H966" s="4">
        <v>1000</v>
      </c>
      <c r="I966" s="12">
        <v>0</v>
      </c>
      <c r="J966" s="4">
        <v>43292.26</v>
      </c>
      <c r="K966" s="4">
        <v>10</v>
      </c>
    </row>
    <row r="967" spans="1:11">
      <c r="A967" s="4" t="str">
        <f t="shared" si="646"/>
        <v>20170928</v>
      </c>
      <c r="B967" s="4" t="str">
        <f t="shared" si="647"/>
        <v>20170928</v>
      </c>
      <c r="C967" s="4" t="str">
        <f>"融券回购"</f>
        <v>融券回购</v>
      </c>
      <c r="D967" s="4" t="str">
        <f t="shared" ref="D967:D972" si="648">"131810"</f>
        <v>131810</v>
      </c>
      <c r="E967" s="4" t="str">
        <f t="shared" ref="E967:E972" si="649">"Ｒ-001"</f>
        <v>Ｒ-001</v>
      </c>
      <c r="F967" s="4">
        <v>9.6</v>
      </c>
      <c r="G967" s="4">
        <v>430</v>
      </c>
      <c r="H967" s="4">
        <v>43000</v>
      </c>
      <c r="I967" s="12">
        <v>-43000.43</v>
      </c>
      <c r="J967" s="4">
        <v>291.83</v>
      </c>
      <c r="K967" s="4">
        <v>0</v>
      </c>
    </row>
    <row r="968" spans="1:11">
      <c r="A968" s="4" t="str">
        <f>"20170929"</f>
        <v>20170929</v>
      </c>
      <c r="B968" s="4" t="str">
        <f>"20170929"</f>
        <v>20170929</v>
      </c>
      <c r="C968" s="4" t="str">
        <f>"基金申购拨出"</f>
        <v>基金申购拨出</v>
      </c>
      <c r="D968" s="4" t="str">
        <f t="shared" si="644"/>
        <v>AA0007</v>
      </c>
      <c r="E968" s="4" t="str">
        <f t="shared" si="645"/>
        <v>银河水星1号集合</v>
      </c>
      <c r="F968" s="4">
        <v>0</v>
      </c>
      <c r="G968" s="4">
        <v>0</v>
      </c>
      <c r="H968" s="4">
        <v>0</v>
      </c>
      <c r="I968" s="12">
        <v>-43404.93</v>
      </c>
      <c r="J968" s="4">
        <v>-43113.1</v>
      </c>
      <c r="K968" s="4">
        <v>0</v>
      </c>
    </row>
    <row r="969" spans="1:11">
      <c r="A969" s="4" t="str">
        <f>"20170929"</f>
        <v>20170929</v>
      </c>
      <c r="B969" s="4" t="str">
        <f t="shared" si="647"/>
        <v>20170928</v>
      </c>
      <c r="C969" s="4" t="str">
        <f>"融券购回"</f>
        <v>融券购回</v>
      </c>
      <c r="D969" s="4" t="str">
        <f t="shared" si="648"/>
        <v>131810</v>
      </c>
      <c r="E969" s="4" t="str">
        <f t="shared" si="649"/>
        <v>Ｒ-001</v>
      </c>
      <c r="F969" s="4">
        <v>9.6</v>
      </c>
      <c r="G969" s="4">
        <v>430</v>
      </c>
      <c r="H969" s="4">
        <v>43113.1</v>
      </c>
      <c r="I969" s="12">
        <v>43113.1</v>
      </c>
      <c r="J969" s="4">
        <v>0</v>
      </c>
      <c r="K969" s="4">
        <v>0</v>
      </c>
    </row>
    <row r="970" spans="1:11">
      <c r="A970" s="4" t="str">
        <f t="shared" ref="A970:A972" si="650">"20171009"</f>
        <v>20171009</v>
      </c>
      <c r="B970" s="4" t="str">
        <f t="shared" ref="B970:B974" si="651">"20171009"</f>
        <v>20171009</v>
      </c>
      <c r="C970" s="4" t="str">
        <f>"基金赎回拨入"</f>
        <v>基金赎回拨入</v>
      </c>
      <c r="D970" s="4" t="str">
        <f t="shared" ref="D970:D975" si="652">"AA0007"</f>
        <v>AA0007</v>
      </c>
      <c r="E970" s="4" t="str">
        <f t="shared" ref="E970:E975" si="653">"银河水星1号集合"</f>
        <v>银河水星1号集合</v>
      </c>
      <c r="F970" s="4">
        <v>0</v>
      </c>
      <c r="G970" s="4">
        <v>43404</v>
      </c>
      <c r="H970" s="4">
        <v>0</v>
      </c>
      <c r="I970" s="12">
        <v>43404.93</v>
      </c>
      <c r="J970" s="4">
        <v>43404.93</v>
      </c>
      <c r="K970" s="4">
        <v>0</v>
      </c>
    </row>
    <row r="971" spans="1:11">
      <c r="A971" s="4" t="str">
        <f t="shared" si="650"/>
        <v>20171009</v>
      </c>
      <c r="B971" s="4" t="str">
        <f>"20170925"</f>
        <v>20170925</v>
      </c>
      <c r="C971" s="4" t="str">
        <f>"新股入帐"</f>
        <v>新股入帐</v>
      </c>
      <c r="D971" s="4" t="str">
        <f>"128016"</f>
        <v>128016</v>
      </c>
      <c r="E971" s="4" t="str">
        <f>"新代码"</f>
        <v>新代码</v>
      </c>
      <c r="F971" s="4">
        <v>0</v>
      </c>
      <c r="G971" s="4">
        <v>10</v>
      </c>
      <c r="H971" s="4">
        <v>0</v>
      </c>
      <c r="I971" s="12">
        <v>0</v>
      </c>
      <c r="J971" s="4">
        <v>43404.93</v>
      </c>
      <c r="K971" s="4">
        <v>10</v>
      </c>
    </row>
    <row r="972" spans="1:11">
      <c r="A972" s="4" t="str">
        <f t="shared" si="650"/>
        <v>20171009</v>
      </c>
      <c r="B972" s="4" t="str">
        <f t="shared" si="651"/>
        <v>20171009</v>
      </c>
      <c r="C972" s="4" t="str">
        <f>"融券回购"</f>
        <v>融券回购</v>
      </c>
      <c r="D972" s="4" t="str">
        <f t="shared" si="648"/>
        <v>131810</v>
      </c>
      <c r="E972" s="4" t="str">
        <f t="shared" si="649"/>
        <v>Ｒ-001</v>
      </c>
      <c r="F972" s="4">
        <v>9</v>
      </c>
      <c r="G972" s="4">
        <v>430</v>
      </c>
      <c r="H972" s="4">
        <v>43000</v>
      </c>
      <c r="I972" s="12">
        <v>-43000.43</v>
      </c>
      <c r="J972" s="4">
        <v>404.5</v>
      </c>
      <c r="K972" s="4">
        <v>0</v>
      </c>
    </row>
    <row r="973" spans="1:11">
      <c r="A973" s="4" t="str">
        <f>"20171010"</f>
        <v>20171010</v>
      </c>
      <c r="B973" s="4" t="str">
        <f>"20171010"</f>
        <v>20171010</v>
      </c>
      <c r="C973" s="4" t="str">
        <f>"基金申购拨出"</f>
        <v>基金申购拨出</v>
      </c>
      <c r="D973" s="4" t="str">
        <f t="shared" si="652"/>
        <v>AA0007</v>
      </c>
      <c r="E973" s="4" t="str">
        <f t="shared" si="653"/>
        <v>银河水星1号集合</v>
      </c>
      <c r="F973" s="4">
        <v>0</v>
      </c>
      <c r="G973" s="4">
        <v>0</v>
      </c>
      <c r="H973" s="4">
        <v>0</v>
      </c>
      <c r="I973" s="12">
        <v>-43415.1</v>
      </c>
      <c r="J973" s="4">
        <v>-43010.6</v>
      </c>
      <c r="K973" s="4">
        <v>0</v>
      </c>
    </row>
    <row r="974" spans="1:11">
      <c r="A974" s="4" t="str">
        <f>"20171010"</f>
        <v>20171010</v>
      </c>
      <c r="B974" s="4" t="str">
        <f t="shared" si="651"/>
        <v>20171009</v>
      </c>
      <c r="C974" s="4" t="str">
        <f>"融券购回"</f>
        <v>融券购回</v>
      </c>
      <c r="D974" s="4" t="str">
        <f>"131810"</f>
        <v>131810</v>
      </c>
      <c r="E974" s="4" t="str">
        <f>"Ｒ-001"</f>
        <v>Ｒ-001</v>
      </c>
      <c r="F974" s="4">
        <v>9</v>
      </c>
      <c r="G974" s="4">
        <v>430</v>
      </c>
      <c r="H974" s="4">
        <v>43010.6</v>
      </c>
      <c r="I974" s="12">
        <v>43010.6</v>
      </c>
      <c r="J974" s="4">
        <v>0</v>
      </c>
      <c r="K974" s="4">
        <v>0</v>
      </c>
    </row>
    <row r="975" spans="1:11">
      <c r="A975" s="4" t="str">
        <f>"20171013"</f>
        <v>20171013</v>
      </c>
      <c r="B975" s="4" t="str">
        <f>"20171013"</f>
        <v>20171013</v>
      </c>
      <c r="C975" s="4" t="str">
        <f>"基金赎回拨入"</f>
        <v>基金赎回拨入</v>
      </c>
      <c r="D975" s="4" t="str">
        <f t="shared" si="652"/>
        <v>AA0007</v>
      </c>
      <c r="E975" s="4" t="str">
        <f t="shared" si="653"/>
        <v>银河水星1号集合</v>
      </c>
      <c r="F975" s="4">
        <v>0</v>
      </c>
      <c r="G975" s="4">
        <v>18866</v>
      </c>
      <c r="H975" s="4">
        <v>0</v>
      </c>
      <c r="I975" s="12">
        <v>18866.85</v>
      </c>
      <c r="J975" s="4">
        <v>18866.85</v>
      </c>
      <c r="K975" s="4">
        <v>0</v>
      </c>
    </row>
    <row r="976" spans="1:11">
      <c r="A976" s="4" t="str">
        <f>"20171013"</f>
        <v>20171013</v>
      </c>
      <c r="B976" s="4" t="str">
        <f>"20171013"</f>
        <v>20171013</v>
      </c>
      <c r="C976" s="4" t="str">
        <f>"证券买入"</f>
        <v>证券买入</v>
      </c>
      <c r="D976" s="4" t="str">
        <f>"150182"</f>
        <v>150182</v>
      </c>
      <c r="E976" s="4" t="str">
        <f>"军工B"</f>
        <v>军工B</v>
      </c>
      <c r="F976" s="4">
        <v>0.943</v>
      </c>
      <c r="G976" s="4">
        <v>20000</v>
      </c>
      <c r="H976" s="4">
        <v>18860</v>
      </c>
      <c r="I976" s="12">
        <v>-18865.85</v>
      </c>
      <c r="J976" s="4">
        <v>1</v>
      </c>
      <c r="K976" s="4">
        <v>20000</v>
      </c>
    </row>
    <row r="977" spans="1:11">
      <c r="A977" s="4" t="str">
        <f t="shared" ref="A977:A979" si="654">"20171016"</f>
        <v>20171016</v>
      </c>
      <c r="B977" s="4" t="str">
        <f t="shared" ref="B977:B979" si="655">"20171016"</f>
        <v>20171016</v>
      </c>
      <c r="C977" s="4" t="str">
        <f>"基金申购拨出"</f>
        <v>基金申购拨出</v>
      </c>
      <c r="D977" s="4" t="str">
        <f t="shared" ref="D977:D982" si="656">"AA0007"</f>
        <v>AA0007</v>
      </c>
      <c r="E977" s="4" t="str">
        <f t="shared" ref="E977:E982" si="657">"银河水星1号集合"</f>
        <v>银河水星1号集合</v>
      </c>
      <c r="F977" s="4">
        <v>0</v>
      </c>
      <c r="G977" s="4">
        <v>0</v>
      </c>
      <c r="H977" s="4">
        <v>0</v>
      </c>
      <c r="I977" s="12">
        <v>-5049.19</v>
      </c>
      <c r="J977" s="4">
        <v>-5048.19</v>
      </c>
      <c r="K977" s="4">
        <v>0</v>
      </c>
    </row>
    <row r="978" spans="1:11">
      <c r="A978" s="4" t="str">
        <f t="shared" si="654"/>
        <v>20171016</v>
      </c>
      <c r="B978" s="4" t="str">
        <f t="shared" si="655"/>
        <v>20171016</v>
      </c>
      <c r="C978" s="4" t="str">
        <f>"证券卖出"</f>
        <v>证券卖出</v>
      </c>
      <c r="D978" s="4" t="str">
        <f>"150182"</f>
        <v>150182</v>
      </c>
      <c r="E978" s="4" t="str">
        <f>"军工B"</f>
        <v>军工B</v>
      </c>
      <c r="F978" s="4">
        <v>0.937</v>
      </c>
      <c r="G978" s="4">
        <v>20000</v>
      </c>
      <c r="H978" s="4">
        <v>18740</v>
      </c>
      <c r="I978" s="12">
        <v>18734.19</v>
      </c>
      <c r="J978" s="4">
        <v>13686</v>
      </c>
      <c r="K978" s="4">
        <v>0</v>
      </c>
    </row>
    <row r="979" spans="1:11">
      <c r="A979" s="4" t="str">
        <f t="shared" si="654"/>
        <v>20171016</v>
      </c>
      <c r="B979" s="4" t="str">
        <f t="shared" si="655"/>
        <v>20171016</v>
      </c>
      <c r="C979" s="4" t="str">
        <f>"证券买入"</f>
        <v>证券买入</v>
      </c>
      <c r="D979" s="4" t="str">
        <f>"150153"</f>
        <v>150153</v>
      </c>
      <c r="E979" s="4" t="str">
        <f>"创业板B"</f>
        <v>创业板B</v>
      </c>
      <c r="F979" s="4">
        <v>0.684</v>
      </c>
      <c r="G979" s="4">
        <v>20000</v>
      </c>
      <c r="H979" s="4">
        <v>13680</v>
      </c>
      <c r="I979" s="12">
        <v>-13685</v>
      </c>
      <c r="J979" s="4">
        <v>1</v>
      </c>
      <c r="K979" s="4">
        <v>20000</v>
      </c>
    </row>
    <row r="980" spans="1:11">
      <c r="A980" s="4" t="str">
        <f>"20171018"</f>
        <v>20171018</v>
      </c>
      <c r="B980" s="4" t="str">
        <f>"20171018"</f>
        <v>20171018</v>
      </c>
      <c r="C980" s="4" t="str">
        <f>"基金申购拨出"</f>
        <v>基金申购拨出</v>
      </c>
      <c r="D980" s="4" t="str">
        <f t="shared" si="656"/>
        <v>AA0007</v>
      </c>
      <c r="E980" s="4" t="str">
        <f t="shared" si="657"/>
        <v>银河水星1号集合</v>
      </c>
      <c r="F980" s="4">
        <v>0</v>
      </c>
      <c r="G980" s="4">
        <v>0</v>
      </c>
      <c r="H980" s="4">
        <v>0</v>
      </c>
      <c r="I980" s="12">
        <v>-12429.8</v>
      </c>
      <c r="J980" s="4">
        <v>-12428.8</v>
      </c>
      <c r="K980" s="4">
        <v>0</v>
      </c>
    </row>
    <row r="981" spans="1:11">
      <c r="A981" s="4" t="str">
        <f>"20171018"</f>
        <v>20171018</v>
      </c>
      <c r="B981" s="4" t="str">
        <f>"20171018"</f>
        <v>20171018</v>
      </c>
      <c r="C981" s="4" t="str">
        <f>"证券卖出"</f>
        <v>证券卖出</v>
      </c>
      <c r="D981" s="4" t="str">
        <f>"600219"</f>
        <v>600219</v>
      </c>
      <c r="E981" s="4" t="str">
        <f>"南山铝业"</f>
        <v>南山铝业</v>
      </c>
      <c r="F981" s="4">
        <v>3.83</v>
      </c>
      <c r="G981" s="4">
        <v>3250</v>
      </c>
      <c r="H981" s="4">
        <v>12447.5</v>
      </c>
      <c r="I981" s="12">
        <v>12429.8</v>
      </c>
      <c r="J981" s="4">
        <v>1</v>
      </c>
      <c r="K981" s="4">
        <v>0</v>
      </c>
    </row>
    <row r="982" spans="1:11">
      <c r="A982" s="4" t="str">
        <f>"20171019"</f>
        <v>20171019</v>
      </c>
      <c r="B982" s="4" t="str">
        <f>"20171019"</f>
        <v>20171019</v>
      </c>
      <c r="C982" s="4" t="str">
        <f>"基金赎回拨入"</f>
        <v>基金赎回拨入</v>
      </c>
      <c r="D982" s="4" t="str">
        <f t="shared" si="656"/>
        <v>AA0007</v>
      </c>
      <c r="E982" s="4" t="str">
        <f t="shared" si="657"/>
        <v>银河水星1号集合</v>
      </c>
      <c r="F982" s="4">
        <v>0</v>
      </c>
      <c r="G982" s="4">
        <v>17705</v>
      </c>
      <c r="H982" s="4">
        <v>0</v>
      </c>
      <c r="I982" s="12">
        <v>17705.49</v>
      </c>
      <c r="J982" s="4">
        <v>17706.49</v>
      </c>
      <c r="K982" s="4">
        <v>0</v>
      </c>
    </row>
    <row r="983" spans="1:11">
      <c r="A983" s="4" t="str">
        <f>"20171019"</f>
        <v>20171019</v>
      </c>
      <c r="B983" s="4" t="str">
        <f>"20171019"</f>
        <v>20171019</v>
      </c>
      <c r="C983" s="4" t="str">
        <f t="shared" ref="C983:C987" si="658">"证券买入"</f>
        <v>证券买入</v>
      </c>
      <c r="D983" s="4" t="str">
        <f>"150182"</f>
        <v>150182</v>
      </c>
      <c r="E983" s="4" t="str">
        <f>"军工B"</f>
        <v>军工B</v>
      </c>
      <c r="F983" s="4">
        <v>0.885</v>
      </c>
      <c r="G983" s="4">
        <v>20000</v>
      </c>
      <c r="H983" s="4">
        <v>17700</v>
      </c>
      <c r="I983" s="12">
        <v>-17705.49</v>
      </c>
      <c r="J983" s="4">
        <v>1</v>
      </c>
      <c r="K983" s="4">
        <v>20000</v>
      </c>
    </row>
    <row r="984" spans="1:11">
      <c r="A984" s="4" t="str">
        <f t="shared" ref="A984:A986" si="659">"20171023"</f>
        <v>20171023</v>
      </c>
      <c r="B984" s="4" t="str">
        <f t="shared" ref="B984:B986" si="660">"20171023"</f>
        <v>20171023</v>
      </c>
      <c r="C984" s="4" t="str">
        <f>"基金赎回拨入"</f>
        <v>基金赎回拨入</v>
      </c>
      <c r="D984" s="4" t="str">
        <f>"AA0007"</f>
        <v>AA0007</v>
      </c>
      <c r="E984" s="4" t="str">
        <f>"银河水星1号集合"</f>
        <v>银河水星1号集合</v>
      </c>
      <c r="F984" s="4">
        <v>0</v>
      </c>
      <c r="G984" s="4">
        <v>12012</v>
      </c>
      <c r="H984" s="4">
        <v>0</v>
      </c>
      <c r="I984" s="12">
        <v>12012.53</v>
      </c>
      <c r="J984" s="4">
        <v>12013.53</v>
      </c>
      <c r="K984" s="4">
        <v>0</v>
      </c>
    </row>
    <row r="985" spans="1:11">
      <c r="A985" s="4" t="str">
        <f t="shared" si="659"/>
        <v>20171023</v>
      </c>
      <c r="B985" s="4" t="str">
        <f t="shared" si="660"/>
        <v>20171023</v>
      </c>
      <c r="C985" s="4" t="str">
        <f>"证券卖出"</f>
        <v>证券卖出</v>
      </c>
      <c r="D985" s="4" t="str">
        <f>"128016"</f>
        <v>128016</v>
      </c>
      <c r="E985" s="4" t="str">
        <f>"雨虹转债"</f>
        <v>雨虹转债</v>
      </c>
      <c r="F985" s="4">
        <v>119.366</v>
      </c>
      <c r="G985" s="4">
        <v>10</v>
      </c>
      <c r="H985" s="4">
        <v>1193.66</v>
      </c>
      <c r="I985" s="12">
        <v>1192.47</v>
      </c>
      <c r="J985" s="4">
        <v>13206</v>
      </c>
      <c r="K985" s="4">
        <v>0</v>
      </c>
    </row>
    <row r="986" spans="1:11">
      <c r="A986" s="4" t="str">
        <f t="shared" si="659"/>
        <v>20171023</v>
      </c>
      <c r="B986" s="4" t="str">
        <f t="shared" si="660"/>
        <v>20171023</v>
      </c>
      <c r="C986" s="4" t="str">
        <f t="shared" si="658"/>
        <v>证券买入</v>
      </c>
      <c r="D986" s="4" t="str">
        <f t="shared" ref="D986:D988" si="661">"150153"</f>
        <v>150153</v>
      </c>
      <c r="E986" s="4" t="str">
        <f t="shared" ref="E986:E988" si="662">"创业板B"</f>
        <v>创业板B</v>
      </c>
      <c r="F986" s="4">
        <v>0.66</v>
      </c>
      <c r="G986" s="4">
        <v>20000</v>
      </c>
      <c r="H986" s="4">
        <v>13200</v>
      </c>
      <c r="I986" s="12">
        <v>-13205</v>
      </c>
      <c r="J986" s="4">
        <v>1</v>
      </c>
      <c r="K986" s="4">
        <v>40000</v>
      </c>
    </row>
    <row r="987" spans="1:11">
      <c r="A987" s="4" t="str">
        <f>"20171025"</f>
        <v>20171025</v>
      </c>
      <c r="B987" s="4" t="str">
        <f>"20171025"</f>
        <v>20171025</v>
      </c>
      <c r="C987" s="4" t="str">
        <f t="shared" si="658"/>
        <v>证券买入</v>
      </c>
      <c r="D987" s="4" t="str">
        <f t="shared" si="661"/>
        <v>150153</v>
      </c>
      <c r="E987" s="4" t="str">
        <f t="shared" si="662"/>
        <v>创业板B</v>
      </c>
      <c r="F987" s="4">
        <v>0.663</v>
      </c>
      <c r="G987" s="4">
        <v>18500</v>
      </c>
      <c r="H987" s="4">
        <v>12265.5</v>
      </c>
      <c r="I987" s="12">
        <v>-12270.5</v>
      </c>
      <c r="J987" s="4">
        <v>-12269.5</v>
      </c>
      <c r="K987" s="4">
        <v>58500</v>
      </c>
    </row>
    <row r="988" spans="1:11">
      <c r="A988" s="4" t="str">
        <f>"20171025"</f>
        <v>20171025</v>
      </c>
      <c r="B988" s="4" t="str">
        <f>"20171025"</f>
        <v>20171025</v>
      </c>
      <c r="C988" s="4" t="str">
        <f t="shared" ref="C988:C994" si="663">"证券卖出"</f>
        <v>证券卖出</v>
      </c>
      <c r="D988" s="4" t="str">
        <f t="shared" si="661"/>
        <v>150153</v>
      </c>
      <c r="E988" s="4" t="str">
        <f t="shared" si="662"/>
        <v>创业板B</v>
      </c>
      <c r="F988" s="4">
        <v>0.666</v>
      </c>
      <c r="G988" s="4">
        <v>18500</v>
      </c>
      <c r="H988" s="4">
        <v>12321</v>
      </c>
      <c r="I988" s="12">
        <v>12316</v>
      </c>
      <c r="J988" s="4">
        <v>46.5</v>
      </c>
      <c r="K988" s="4">
        <v>40000</v>
      </c>
    </row>
    <row r="989" spans="1:11">
      <c r="A989" s="4" t="str">
        <f t="shared" ref="A989:A994" si="664">"20171026"</f>
        <v>20171026</v>
      </c>
      <c r="B989" s="4" t="str">
        <f t="shared" ref="B989:B994" si="665">"20171026"</f>
        <v>20171026</v>
      </c>
      <c r="C989" s="4" t="str">
        <f>"删除过期证券"</f>
        <v>删除过期证券</v>
      </c>
      <c r="D989" s="4" t="str">
        <f>"072271"</f>
        <v>072271</v>
      </c>
      <c r="E989" s="4" t="str">
        <f>"雨虹发债"</f>
        <v>雨虹发债</v>
      </c>
      <c r="F989" s="4">
        <v>0</v>
      </c>
      <c r="G989" s="4">
        <v>0</v>
      </c>
      <c r="H989" s="4">
        <v>0</v>
      </c>
      <c r="I989" s="12">
        <v>0</v>
      </c>
      <c r="J989" s="4">
        <v>46.5</v>
      </c>
      <c r="K989" s="4">
        <v>0</v>
      </c>
    </row>
    <row r="990" spans="1:11">
      <c r="A990" s="4" t="str">
        <f t="shared" si="664"/>
        <v>20171026</v>
      </c>
      <c r="B990" s="4" t="str">
        <f t="shared" si="665"/>
        <v>20171026</v>
      </c>
      <c r="C990" s="4" t="str">
        <f>"基金申购拨出"</f>
        <v>基金申购拨出</v>
      </c>
      <c r="D990" s="4" t="str">
        <f>"AA0007"</f>
        <v>AA0007</v>
      </c>
      <c r="E990" s="4" t="str">
        <f>"银河水星1号集合"</f>
        <v>银河水星1号集合</v>
      </c>
      <c r="F990" s="4">
        <v>0</v>
      </c>
      <c r="G990" s="4">
        <v>0</v>
      </c>
      <c r="H990" s="4">
        <v>0</v>
      </c>
      <c r="I990" s="12">
        <v>-31793.51</v>
      </c>
      <c r="J990" s="4">
        <v>-31747.01</v>
      </c>
      <c r="K990" s="4">
        <v>0</v>
      </c>
    </row>
    <row r="991" spans="1:11">
      <c r="A991" s="4" t="str">
        <f t="shared" si="664"/>
        <v>20171026</v>
      </c>
      <c r="B991" s="4" t="str">
        <f t="shared" si="665"/>
        <v>20171026</v>
      </c>
      <c r="C991" s="4" t="str">
        <f t="shared" si="663"/>
        <v>证券卖出</v>
      </c>
      <c r="D991" s="4" t="str">
        <f>"000601"</f>
        <v>000601</v>
      </c>
      <c r="E991" s="4" t="str">
        <f>"韶能股份"</f>
        <v>韶能股份</v>
      </c>
      <c r="F991" s="4">
        <v>7.8</v>
      </c>
      <c r="G991" s="4">
        <v>2500</v>
      </c>
      <c r="H991" s="4">
        <v>19500</v>
      </c>
      <c r="I991" s="12">
        <v>19474.45</v>
      </c>
      <c r="J991" s="4">
        <v>-12272.56</v>
      </c>
      <c r="K991" s="4">
        <v>22200</v>
      </c>
    </row>
    <row r="992" spans="1:11">
      <c r="A992" s="4" t="str">
        <f t="shared" si="664"/>
        <v>20171026</v>
      </c>
      <c r="B992" s="4" t="str">
        <f t="shared" si="665"/>
        <v>20171026</v>
      </c>
      <c r="C992" s="4" t="str">
        <f>"证券买入"</f>
        <v>证券买入</v>
      </c>
      <c r="D992" s="4" t="str">
        <f>"000768"</f>
        <v>000768</v>
      </c>
      <c r="E992" s="4" t="str">
        <f>"中航飞机"</f>
        <v>中航飞机</v>
      </c>
      <c r="F992" s="4">
        <v>19.11</v>
      </c>
      <c r="G992" s="4">
        <v>1000</v>
      </c>
      <c r="H992" s="4">
        <v>19110</v>
      </c>
      <c r="I992" s="12">
        <v>-19115.92</v>
      </c>
      <c r="J992" s="4">
        <v>-31388.48</v>
      </c>
      <c r="K992" s="4">
        <v>1000</v>
      </c>
    </row>
    <row r="993" spans="1:11">
      <c r="A993" s="4" t="str">
        <f t="shared" si="664"/>
        <v>20171026</v>
      </c>
      <c r="B993" s="4" t="str">
        <f t="shared" si="665"/>
        <v>20171026</v>
      </c>
      <c r="C993" s="4" t="str">
        <f t="shared" si="663"/>
        <v>证券卖出</v>
      </c>
      <c r="D993" s="4" t="str">
        <f t="shared" ref="D993:D998" si="666">"150153"</f>
        <v>150153</v>
      </c>
      <c r="E993" s="4" t="str">
        <f t="shared" ref="E993:E998" si="667">"创业板B"</f>
        <v>创业板B</v>
      </c>
      <c r="F993" s="4">
        <v>0.679</v>
      </c>
      <c r="G993" s="4">
        <v>20000</v>
      </c>
      <c r="H993" s="4">
        <v>13580</v>
      </c>
      <c r="I993" s="12">
        <v>13575</v>
      </c>
      <c r="J993" s="4">
        <v>-17813.48</v>
      </c>
      <c r="K993" s="4">
        <v>20000</v>
      </c>
    </row>
    <row r="994" spans="1:11">
      <c r="A994" s="4" t="str">
        <f t="shared" si="664"/>
        <v>20171026</v>
      </c>
      <c r="B994" s="4" t="str">
        <f t="shared" si="665"/>
        <v>20171026</v>
      </c>
      <c r="C994" s="4" t="str">
        <f t="shared" si="663"/>
        <v>证券卖出</v>
      </c>
      <c r="D994" s="4" t="str">
        <f>"150182"</f>
        <v>150182</v>
      </c>
      <c r="E994" s="4" t="str">
        <f>"军工B"</f>
        <v>军工B</v>
      </c>
      <c r="F994" s="4">
        <v>0.891</v>
      </c>
      <c r="G994" s="4">
        <v>20000</v>
      </c>
      <c r="H994" s="4">
        <v>17820</v>
      </c>
      <c r="I994" s="12">
        <v>17814.48</v>
      </c>
      <c r="J994" s="4">
        <v>1</v>
      </c>
      <c r="K994" s="4">
        <v>0</v>
      </c>
    </row>
    <row r="995" spans="1:11">
      <c r="A995" s="4" t="str">
        <f t="shared" ref="A995:A999" si="668">"20171027"</f>
        <v>20171027</v>
      </c>
      <c r="B995" s="4" t="str">
        <f t="shared" ref="B995:B999" si="669">"20171027"</f>
        <v>20171027</v>
      </c>
      <c r="C995" s="4" t="str">
        <f>"基金赎回拨入"</f>
        <v>基金赎回拨入</v>
      </c>
      <c r="D995" s="4" t="str">
        <f>"AA0007"</f>
        <v>AA0007</v>
      </c>
      <c r="E995" s="4" t="str">
        <f>"银河水星1号集合"</f>
        <v>银河水星1号集合</v>
      </c>
      <c r="F995" s="4">
        <v>0</v>
      </c>
      <c r="G995" s="4">
        <v>21</v>
      </c>
      <c r="H995" s="4">
        <v>0</v>
      </c>
      <c r="I995" s="12">
        <v>21.37</v>
      </c>
      <c r="J995" s="4">
        <v>22.37</v>
      </c>
      <c r="K995" s="4">
        <v>0</v>
      </c>
    </row>
    <row r="996" spans="1:11">
      <c r="A996" s="4" t="str">
        <f t="shared" si="668"/>
        <v>20171027</v>
      </c>
      <c r="B996" s="4" t="str">
        <f t="shared" si="669"/>
        <v>20171027</v>
      </c>
      <c r="C996" s="4" t="str">
        <f>"证券卖出"</f>
        <v>证券卖出</v>
      </c>
      <c r="D996" s="4" t="str">
        <f t="shared" si="666"/>
        <v>150153</v>
      </c>
      <c r="E996" s="4" t="str">
        <f t="shared" si="667"/>
        <v>创业板B</v>
      </c>
      <c r="F996" s="4">
        <v>0.677</v>
      </c>
      <c r="G996" s="4">
        <v>20000</v>
      </c>
      <c r="H996" s="4">
        <v>13540</v>
      </c>
      <c r="I996" s="12">
        <v>13535</v>
      </c>
      <c r="J996" s="4">
        <v>13557.37</v>
      </c>
      <c r="K996" s="4">
        <v>0</v>
      </c>
    </row>
    <row r="997" spans="1:11">
      <c r="A997" s="4" t="str">
        <f t="shared" si="668"/>
        <v>20171027</v>
      </c>
      <c r="B997" s="4" t="str">
        <f t="shared" si="669"/>
        <v>20171027</v>
      </c>
      <c r="C997" s="4" t="str">
        <f>"证券卖出"</f>
        <v>证券卖出</v>
      </c>
      <c r="D997" s="4" t="str">
        <f>"000768"</f>
        <v>000768</v>
      </c>
      <c r="E997" s="4" t="str">
        <f>"中航飞机"</f>
        <v>中航飞机</v>
      </c>
      <c r="F997" s="4">
        <v>19.36</v>
      </c>
      <c r="G997" s="4">
        <v>1000</v>
      </c>
      <c r="H997" s="4">
        <v>19360</v>
      </c>
      <c r="I997" s="12">
        <v>19334.64</v>
      </c>
      <c r="J997" s="4">
        <v>32892.01</v>
      </c>
      <c r="K997" s="4">
        <v>0</v>
      </c>
    </row>
    <row r="998" spans="1:11">
      <c r="A998" s="4" t="str">
        <f t="shared" si="668"/>
        <v>20171027</v>
      </c>
      <c r="B998" s="4" t="str">
        <f t="shared" si="669"/>
        <v>20171027</v>
      </c>
      <c r="C998" s="4" t="str">
        <f t="shared" ref="C998:C1001" si="670">"证券买入"</f>
        <v>证券买入</v>
      </c>
      <c r="D998" s="4" t="str">
        <f t="shared" si="666"/>
        <v>150153</v>
      </c>
      <c r="E998" s="4" t="str">
        <f t="shared" si="667"/>
        <v>创业板B</v>
      </c>
      <c r="F998" s="4">
        <v>0.674</v>
      </c>
      <c r="G998" s="4">
        <v>20000</v>
      </c>
      <c r="H998" s="4">
        <v>13480</v>
      </c>
      <c r="I998" s="12">
        <v>-13485</v>
      </c>
      <c r="J998" s="4">
        <v>19407.01</v>
      </c>
      <c r="K998" s="4">
        <v>20000</v>
      </c>
    </row>
    <row r="999" spans="1:11">
      <c r="A999" s="4" t="str">
        <f t="shared" si="668"/>
        <v>20171027</v>
      </c>
      <c r="B999" s="4" t="str">
        <f t="shared" si="669"/>
        <v>20171027</v>
      </c>
      <c r="C999" s="4" t="str">
        <f t="shared" si="670"/>
        <v>证券买入</v>
      </c>
      <c r="D999" s="4" t="str">
        <f>"002036"</f>
        <v>002036</v>
      </c>
      <c r="E999" s="4" t="str">
        <f>"联创电子"</f>
        <v>联创电子</v>
      </c>
      <c r="F999" s="4">
        <v>19.4</v>
      </c>
      <c r="G999" s="4">
        <v>1000</v>
      </c>
      <c r="H999" s="4">
        <v>19400</v>
      </c>
      <c r="I999" s="12">
        <v>-19406.01</v>
      </c>
      <c r="J999" s="4">
        <v>1</v>
      </c>
      <c r="K999" s="4">
        <v>1000</v>
      </c>
    </row>
    <row r="1000" spans="1:11">
      <c r="A1000" s="4" t="str">
        <f t="shared" ref="A1000:A1005" si="671">"20171030"</f>
        <v>20171030</v>
      </c>
      <c r="B1000" s="4" t="str">
        <f t="shared" ref="B1000:B1005" si="672">"20171030"</f>
        <v>20171030</v>
      </c>
      <c r="C1000" s="4" t="str">
        <f>"基金赎回拨入"</f>
        <v>基金赎回拨入</v>
      </c>
      <c r="D1000" s="4" t="str">
        <f>"AA0007"</f>
        <v>AA0007</v>
      </c>
      <c r="E1000" s="4" t="str">
        <f>"银河水星1号集合"</f>
        <v>银河水星1号集合</v>
      </c>
      <c r="F1000" s="4">
        <v>0</v>
      </c>
      <c r="G1000" s="4">
        <v>16266</v>
      </c>
      <c r="H1000" s="4">
        <v>0</v>
      </c>
      <c r="I1000" s="12">
        <v>16266.23</v>
      </c>
      <c r="J1000" s="4">
        <v>16267.23</v>
      </c>
      <c r="K1000" s="4">
        <v>0</v>
      </c>
    </row>
    <row r="1001" spans="1:11">
      <c r="A1001" s="4" t="str">
        <f t="shared" si="671"/>
        <v>20171030</v>
      </c>
      <c r="B1001" s="4" t="str">
        <f t="shared" si="672"/>
        <v>20171030</v>
      </c>
      <c r="C1001" s="4" t="str">
        <f t="shared" si="670"/>
        <v>证券买入</v>
      </c>
      <c r="D1001" s="4" t="str">
        <f>"150182"</f>
        <v>150182</v>
      </c>
      <c r="E1001" s="4" t="str">
        <f>"军工B"</f>
        <v>军工B</v>
      </c>
      <c r="F1001" s="4">
        <v>0.873</v>
      </c>
      <c r="G1001" s="4">
        <v>20000</v>
      </c>
      <c r="H1001" s="4">
        <v>17460</v>
      </c>
      <c r="I1001" s="12">
        <v>-17465.41</v>
      </c>
      <c r="J1001" s="4">
        <v>-1198.18</v>
      </c>
      <c r="K1001" s="4">
        <v>20000</v>
      </c>
    </row>
    <row r="1002" spans="1:11">
      <c r="A1002" s="4" t="str">
        <f t="shared" si="671"/>
        <v>20171030</v>
      </c>
      <c r="B1002" s="4" t="str">
        <f t="shared" si="672"/>
        <v>20171030</v>
      </c>
      <c r="C1002" s="4" t="str">
        <f t="shared" ref="C1002:C1007" si="673">"证券卖出"</f>
        <v>证券卖出</v>
      </c>
      <c r="D1002" s="4" t="str">
        <f t="shared" ref="D1002:D1007" si="674">"150153"</f>
        <v>150153</v>
      </c>
      <c r="E1002" s="4" t="str">
        <f t="shared" ref="E1002:E1007" si="675">"创业板B"</f>
        <v>创业板B</v>
      </c>
      <c r="F1002" s="4">
        <v>0.667</v>
      </c>
      <c r="G1002" s="4">
        <v>20000</v>
      </c>
      <c r="H1002" s="4">
        <v>13340</v>
      </c>
      <c r="I1002" s="12">
        <v>13335</v>
      </c>
      <c r="J1002" s="4">
        <v>12136.82</v>
      </c>
      <c r="K1002" s="4">
        <v>0</v>
      </c>
    </row>
    <row r="1003" spans="1:11">
      <c r="A1003" s="4" t="str">
        <f t="shared" si="671"/>
        <v>20171030</v>
      </c>
      <c r="B1003" s="4" t="str">
        <f t="shared" si="672"/>
        <v>20171030</v>
      </c>
      <c r="C1003" s="4" t="str">
        <f t="shared" si="673"/>
        <v>证券卖出</v>
      </c>
      <c r="D1003" s="4" t="str">
        <f>"002036"</f>
        <v>002036</v>
      </c>
      <c r="E1003" s="4" t="str">
        <f>"联创电子"</f>
        <v>联创电子</v>
      </c>
      <c r="F1003" s="4">
        <v>19.18</v>
      </c>
      <c r="G1003" s="4">
        <v>1000</v>
      </c>
      <c r="H1003" s="4">
        <v>19180</v>
      </c>
      <c r="I1003" s="12">
        <v>19154.87</v>
      </c>
      <c r="J1003" s="4">
        <v>31291.69</v>
      </c>
      <c r="K1003" s="4">
        <v>0</v>
      </c>
    </row>
    <row r="1004" spans="1:11">
      <c r="A1004" s="4" t="str">
        <f t="shared" si="671"/>
        <v>20171030</v>
      </c>
      <c r="B1004" s="4" t="str">
        <f t="shared" si="672"/>
        <v>20171030</v>
      </c>
      <c r="C1004" s="4" t="str">
        <f t="shared" ref="C1004:C1008" si="676">"证券买入"</f>
        <v>证券买入</v>
      </c>
      <c r="D1004" s="4" t="str">
        <f>"000768"</f>
        <v>000768</v>
      </c>
      <c r="E1004" s="4" t="str">
        <f>"中航飞机"</f>
        <v>中航飞机</v>
      </c>
      <c r="F1004" s="4">
        <v>18.34</v>
      </c>
      <c r="G1004" s="4">
        <v>1000</v>
      </c>
      <c r="H1004" s="4">
        <v>18340</v>
      </c>
      <c r="I1004" s="12">
        <v>-18345.69</v>
      </c>
      <c r="J1004" s="4">
        <v>12946</v>
      </c>
      <c r="K1004" s="4">
        <v>1000</v>
      </c>
    </row>
    <row r="1005" spans="1:11">
      <c r="A1005" s="4" t="str">
        <f t="shared" si="671"/>
        <v>20171030</v>
      </c>
      <c r="B1005" s="4" t="str">
        <f t="shared" si="672"/>
        <v>20171030</v>
      </c>
      <c r="C1005" s="4" t="str">
        <f t="shared" si="676"/>
        <v>证券买入</v>
      </c>
      <c r="D1005" s="4" t="str">
        <f t="shared" si="674"/>
        <v>150153</v>
      </c>
      <c r="E1005" s="4" t="str">
        <f t="shared" si="675"/>
        <v>创业板B</v>
      </c>
      <c r="F1005" s="4">
        <v>0.647</v>
      </c>
      <c r="G1005" s="4">
        <v>20000</v>
      </c>
      <c r="H1005" s="4">
        <v>12940</v>
      </c>
      <c r="I1005" s="12">
        <v>-12945</v>
      </c>
      <c r="J1005" s="4">
        <v>1</v>
      </c>
      <c r="K1005" s="4">
        <v>20000</v>
      </c>
    </row>
    <row r="1006" spans="1:11">
      <c r="A1006" s="4" t="str">
        <f t="shared" ref="A1006:A1008" si="677">"20171031"</f>
        <v>20171031</v>
      </c>
      <c r="B1006" s="4" t="str">
        <f t="shared" ref="B1006:B1008" si="678">"20171031"</f>
        <v>20171031</v>
      </c>
      <c r="C1006" s="4" t="str">
        <f>"基金赎回拨入"</f>
        <v>基金赎回拨入</v>
      </c>
      <c r="D1006" s="4" t="str">
        <f>"AA0007"</f>
        <v>AA0007</v>
      </c>
      <c r="E1006" s="4" t="str">
        <f>"银河水星1号集合"</f>
        <v>银河水星1号集合</v>
      </c>
      <c r="F1006" s="4">
        <v>0</v>
      </c>
      <c r="G1006" s="4">
        <v>3850</v>
      </c>
      <c r="H1006" s="4">
        <v>0</v>
      </c>
      <c r="I1006" s="12">
        <v>3850.14</v>
      </c>
      <c r="J1006" s="4">
        <v>3851.14</v>
      </c>
      <c r="K1006" s="4">
        <v>0</v>
      </c>
    </row>
    <row r="1007" spans="1:11">
      <c r="A1007" s="4" t="str">
        <f t="shared" si="677"/>
        <v>20171031</v>
      </c>
      <c r="B1007" s="4" t="str">
        <f t="shared" si="678"/>
        <v>20171031</v>
      </c>
      <c r="C1007" s="4" t="str">
        <f t="shared" si="673"/>
        <v>证券卖出</v>
      </c>
      <c r="D1007" s="4" t="str">
        <f t="shared" si="674"/>
        <v>150153</v>
      </c>
      <c r="E1007" s="4" t="str">
        <f t="shared" si="675"/>
        <v>创业板B</v>
      </c>
      <c r="F1007" s="4">
        <v>0.637</v>
      </c>
      <c r="G1007" s="4">
        <v>20000</v>
      </c>
      <c r="H1007" s="4">
        <v>12740</v>
      </c>
      <c r="I1007" s="12">
        <v>12735</v>
      </c>
      <c r="J1007" s="4">
        <v>16586.14</v>
      </c>
      <c r="K1007" s="4">
        <v>0</v>
      </c>
    </row>
    <row r="1008" spans="1:11">
      <c r="A1008" s="4" t="str">
        <f t="shared" si="677"/>
        <v>20171031</v>
      </c>
      <c r="B1008" s="4" t="str">
        <f t="shared" si="678"/>
        <v>20171031</v>
      </c>
      <c r="C1008" s="4" t="str">
        <f t="shared" si="676"/>
        <v>证券买入</v>
      </c>
      <c r="D1008" s="4" t="str">
        <f>"150182"</f>
        <v>150182</v>
      </c>
      <c r="E1008" s="4" t="str">
        <f>"军工B"</f>
        <v>军工B</v>
      </c>
      <c r="F1008" s="4">
        <v>0.829</v>
      </c>
      <c r="G1008" s="4">
        <v>20000</v>
      </c>
      <c r="H1008" s="4">
        <v>16580</v>
      </c>
      <c r="I1008" s="12">
        <v>-16585.14</v>
      </c>
      <c r="J1008" s="4">
        <v>1</v>
      </c>
      <c r="K1008" s="4">
        <v>40000</v>
      </c>
    </row>
    <row r="1009" spans="1:11">
      <c r="A1009" s="4" t="str">
        <f t="shared" ref="A1009:A1011" si="679">"20171101"</f>
        <v>20171101</v>
      </c>
      <c r="B1009" s="4" t="str">
        <f t="shared" ref="B1009:B1011" si="680">"20171101"</f>
        <v>20171101</v>
      </c>
      <c r="C1009" s="4" t="str">
        <f>"基金申购拨出"</f>
        <v>基金申购拨出</v>
      </c>
      <c r="D1009" s="4" t="str">
        <f>"AA0007"</f>
        <v>AA0007</v>
      </c>
      <c r="E1009" s="4" t="str">
        <f>"银河水星1号集合"</f>
        <v>银河水星1号集合</v>
      </c>
      <c r="F1009" s="4">
        <v>0</v>
      </c>
      <c r="G1009" s="4">
        <v>0</v>
      </c>
      <c r="H1009" s="4">
        <v>0</v>
      </c>
      <c r="I1009" s="12">
        <v>-3889.8</v>
      </c>
      <c r="J1009" s="4">
        <v>-3888.8</v>
      </c>
      <c r="K1009" s="4">
        <v>0</v>
      </c>
    </row>
    <row r="1010" spans="1:11">
      <c r="A1010" s="4" t="str">
        <f t="shared" si="679"/>
        <v>20171101</v>
      </c>
      <c r="B1010" s="4" t="str">
        <f t="shared" si="680"/>
        <v>20171101</v>
      </c>
      <c r="C1010" s="4" t="str">
        <f t="shared" ref="C1010:C1014" si="681">"证券卖出"</f>
        <v>证券卖出</v>
      </c>
      <c r="D1010" s="4" t="str">
        <f>"150182"</f>
        <v>150182</v>
      </c>
      <c r="E1010" s="4" t="str">
        <f>"军工B"</f>
        <v>军工B</v>
      </c>
      <c r="F1010" s="4">
        <v>0.838</v>
      </c>
      <c r="G1010" s="4">
        <v>20000</v>
      </c>
      <c r="H1010" s="4">
        <v>16760</v>
      </c>
      <c r="I1010" s="12">
        <v>16754.8</v>
      </c>
      <c r="J1010" s="4">
        <v>12866</v>
      </c>
      <c r="K1010" s="4">
        <v>20000</v>
      </c>
    </row>
    <row r="1011" spans="1:11">
      <c r="A1011" s="4" t="str">
        <f t="shared" si="679"/>
        <v>20171101</v>
      </c>
      <c r="B1011" s="4" t="str">
        <f t="shared" si="680"/>
        <v>20171101</v>
      </c>
      <c r="C1011" s="4" t="str">
        <f>"证券买入"</f>
        <v>证券买入</v>
      </c>
      <c r="D1011" s="4" t="str">
        <f>"150153"</f>
        <v>150153</v>
      </c>
      <c r="E1011" s="4" t="str">
        <f>"创业板B"</f>
        <v>创业板B</v>
      </c>
      <c r="F1011" s="4">
        <v>0.643</v>
      </c>
      <c r="G1011" s="4">
        <v>20000</v>
      </c>
      <c r="H1011" s="4">
        <v>12860</v>
      </c>
      <c r="I1011" s="12">
        <v>-12865</v>
      </c>
      <c r="J1011" s="4">
        <v>1</v>
      </c>
      <c r="K1011" s="4">
        <v>20000</v>
      </c>
    </row>
    <row r="1012" spans="1:11">
      <c r="A1012" s="4" t="str">
        <f t="shared" ref="A1012:A1015" si="682">"20171102"</f>
        <v>20171102</v>
      </c>
      <c r="B1012" s="4" t="str">
        <f t="shared" ref="B1012:B1015" si="683">"20171102"</f>
        <v>20171102</v>
      </c>
      <c r="C1012" s="4" t="str">
        <f>"基金申购拨出"</f>
        <v>基金申购拨出</v>
      </c>
      <c r="D1012" s="4" t="str">
        <f>"AA0007"</f>
        <v>AA0007</v>
      </c>
      <c r="E1012" s="4" t="str">
        <f>"银河水星1号集合"</f>
        <v>银河水星1号集合</v>
      </c>
      <c r="F1012" s="4">
        <v>0</v>
      </c>
      <c r="G1012" s="4">
        <v>0</v>
      </c>
      <c r="H1012" s="4">
        <v>0</v>
      </c>
      <c r="I1012" s="12">
        <v>-7993.97</v>
      </c>
      <c r="J1012" s="4">
        <v>-7992.97</v>
      </c>
      <c r="K1012" s="4">
        <v>0</v>
      </c>
    </row>
    <row r="1013" spans="1:11">
      <c r="A1013" s="4" t="str">
        <f t="shared" si="682"/>
        <v>20171102</v>
      </c>
      <c r="B1013" s="4" t="str">
        <f t="shared" si="683"/>
        <v>20171102</v>
      </c>
      <c r="C1013" s="4" t="str">
        <f t="shared" si="681"/>
        <v>证券卖出</v>
      </c>
      <c r="D1013" s="4" t="str">
        <f>"150153"</f>
        <v>150153</v>
      </c>
      <c r="E1013" s="4" t="str">
        <f>"创业板B"</f>
        <v>创业板B</v>
      </c>
      <c r="F1013" s="4">
        <v>0.63</v>
      </c>
      <c r="G1013" s="4">
        <v>20000</v>
      </c>
      <c r="H1013" s="4">
        <v>12600.6</v>
      </c>
      <c r="I1013" s="12">
        <v>12595.6</v>
      </c>
      <c r="J1013" s="4">
        <v>4602.63</v>
      </c>
      <c r="K1013" s="4">
        <v>0</v>
      </c>
    </row>
    <row r="1014" spans="1:11">
      <c r="A1014" s="4" t="str">
        <f t="shared" si="682"/>
        <v>20171102</v>
      </c>
      <c r="B1014" s="4" t="str">
        <f t="shared" si="683"/>
        <v>20171102</v>
      </c>
      <c r="C1014" s="4" t="str">
        <f t="shared" si="681"/>
        <v>证券卖出</v>
      </c>
      <c r="D1014" s="4" t="str">
        <f>"150182"</f>
        <v>150182</v>
      </c>
      <c r="E1014" s="4" t="str">
        <f>"军工B"</f>
        <v>军工B</v>
      </c>
      <c r="F1014" s="4">
        <v>0.823</v>
      </c>
      <c r="G1014" s="4">
        <v>20000</v>
      </c>
      <c r="H1014" s="4">
        <v>16460</v>
      </c>
      <c r="I1014" s="12">
        <v>16454.9</v>
      </c>
      <c r="J1014" s="4">
        <v>21057.53</v>
      </c>
      <c r="K1014" s="4">
        <v>0</v>
      </c>
    </row>
    <row r="1015" spans="1:11">
      <c r="A1015" s="4" t="str">
        <f t="shared" si="682"/>
        <v>20171102</v>
      </c>
      <c r="B1015" s="4" t="str">
        <f t="shared" si="683"/>
        <v>20171102</v>
      </c>
      <c r="C1015" s="4" t="str">
        <f>"证券买入"</f>
        <v>证券买入</v>
      </c>
      <c r="D1015" s="4" t="str">
        <f>"002183"</f>
        <v>002183</v>
      </c>
      <c r="E1015" s="4" t="str">
        <f>"怡 亚 通"</f>
        <v>怡 亚 通</v>
      </c>
      <c r="F1015" s="4">
        <v>8.42</v>
      </c>
      <c r="G1015" s="4">
        <v>2500</v>
      </c>
      <c r="H1015" s="4">
        <v>21050</v>
      </c>
      <c r="I1015" s="12">
        <v>-21056.53</v>
      </c>
      <c r="J1015" s="4">
        <v>1</v>
      </c>
      <c r="K1015" s="4">
        <v>7500</v>
      </c>
    </row>
    <row r="1016" spans="1:11">
      <c r="A1016" s="4" t="str">
        <f>"20171103"</f>
        <v>20171103</v>
      </c>
      <c r="B1016" s="4" t="str">
        <f>"20171103"</f>
        <v>20171103</v>
      </c>
      <c r="C1016" s="4" t="str">
        <f>"基金申购拨出"</f>
        <v>基金申购拨出</v>
      </c>
      <c r="D1016" s="4" t="str">
        <f t="shared" ref="D1016:D1020" si="684">"AA0007"</f>
        <v>AA0007</v>
      </c>
      <c r="E1016" s="4" t="str">
        <f t="shared" ref="E1016:E1020" si="685">"银河水星1号集合"</f>
        <v>银河水星1号集合</v>
      </c>
      <c r="F1016" s="4">
        <v>0</v>
      </c>
      <c r="G1016" s="4">
        <v>0</v>
      </c>
      <c r="H1016" s="4">
        <v>0</v>
      </c>
      <c r="I1016" s="12">
        <v>-20872.62</v>
      </c>
      <c r="J1016" s="4">
        <v>-20871.62</v>
      </c>
      <c r="K1016" s="4">
        <v>0</v>
      </c>
    </row>
    <row r="1017" spans="1:11">
      <c r="A1017" s="4" t="str">
        <f>"20171103"</f>
        <v>20171103</v>
      </c>
      <c r="B1017" s="4" t="str">
        <f>"20171103"</f>
        <v>20171103</v>
      </c>
      <c r="C1017" s="4" t="str">
        <f>"证券卖出"</f>
        <v>证券卖出</v>
      </c>
      <c r="D1017" s="4" t="str">
        <f>"002183"</f>
        <v>002183</v>
      </c>
      <c r="E1017" s="4" t="str">
        <f>"怡 亚 通"</f>
        <v>怡 亚 通</v>
      </c>
      <c r="F1017" s="4">
        <v>8.36</v>
      </c>
      <c r="G1017" s="4">
        <v>2500</v>
      </c>
      <c r="H1017" s="4">
        <v>20900</v>
      </c>
      <c r="I1017" s="12">
        <v>20872.62</v>
      </c>
      <c r="J1017" s="4">
        <v>1</v>
      </c>
      <c r="K1017" s="4">
        <v>5000</v>
      </c>
    </row>
    <row r="1018" spans="1:11">
      <c r="A1018" s="4" t="str">
        <f>"20171108"</f>
        <v>20171108</v>
      </c>
      <c r="B1018" s="4" t="str">
        <f t="shared" ref="B1018:B1021" si="686">"20171108"</f>
        <v>20171108</v>
      </c>
      <c r="C1018" s="4" t="str">
        <f>"基金申购拨出"</f>
        <v>基金申购拨出</v>
      </c>
      <c r="D1018" s="4" t="str">
        <f t="shared" si="684"/>
        <v>AA0007</v>
      </c>
      <c r="E1018" s="4" t="str">
        <f t="shared" si="685"/>
        <v>银河水星1号集合</v>
      </c>
      <c r="F1018" s="4">
        <v>0</v>
      </c>
      <c r="G1018" s="4">
        <v>0</v>
      </c>
      <c r="H1018" s="4">
        <v>0</v>
      </c>
      <c r="I1018" s="12">
        <v>-18655.53</v>
      </c>
      <c r="J1018" s="4">
        <v>-18654.53</v>
      </c>
      <c r="K1018" s="4">
        <v>0</v>
      </c>
    </row>
    <row r="1019" spans="1:11">
      <c r="A1019" s="4" t="str">
        <f>"20171108"</f>
        <v>20171108</v>
      </c>
      <c r="B1019" s="4" t="str">
        <f t="shared" si="686"/>
        <v>20171108</v>
      </c>
      <c r="C1019" s="4" t="str">
        <f>"证券卖出"</f>
        <v>证券卖出</v>
      </c>
      <c r="D1019" s="4" t="str">
        <f>"000768"</f>
        <v>000768</v>
      </c>
      <c r="E1019" s="4" t="str">
        <f>"中航飞机"</f>
        <v>中航飞机</v>
      </c>
      <c r="F1019" s="4">
        <v>18.68</v>
      </c>
      <c r="G1019" s="4">
        <v>1000</v>
      </c>
      <c r="H1019" s="4">
        <v>18680</v>
      </c>
      <c r="I1019" s="12">
        <v>18655.53</v>
      </c>
      <c r="J1019" s="4">
        <v>1</v>
      </c>
      <c r="K1019" s="4">
        <v>0</v>
      </c>
    </row>
    <row r="1020" spans="1:11">
      <c r="A1020" s="4" t="str">
        <f>"20171110"</f>
        <v>20171110</v>
      </c>
      <c r="B1020" s="4" t="str">
        <f>"20171110"</f>
        <v>20171110</v>
      </c>
      <c r="C1020" s="4" t="str">
        <f>"基金赎回拨入"</f>
        <v>基金赎回拨入</v>
      </c>
      <c r="D1020" s="4" t="str">
        <f t="shared" si="684"/>
        <v>AA0007</v>
      </c>
      <c r="E1020" s="4" t="str">
        <f t="shared" si="685"/>
        <v>银河水星1号集合</v>
      </c>
      <c r="F1020" s="4">
        <v>0</v>
      </c>
      <c r="G1020" s="4">
        <v>999</v>
      </c>
      <c r="H1020" s="4">
        <v>0</v>
      </c>
      <c r="I1020" s="12">
        <v>999</v>
      </c>
      <c r="J1020" s="4">
        <v>1000</v>
      </c>
      <c r="K1020" s="4">
        <v>0</v>
      </c>
    </row>
    <row r="1021" spans="1:11">
      <c r="A1021" s="4" t="str">
        <f>"20171110"</f>
        <v>20171110</v>
      </c>
      <c r="B1021" s="4" t="str">
        <f t="shared" si="686"/>
        <v>20171108</v>
      </c>
      <c r="C1021" s="4" t="str">
        <f>"配售缴款"</f>
        <v>配售缴款</v>
      </c>
      <c r="D1021" s="4" t="str">
        <f>"072318"</f>
        <v>072318</v>
      </c>
      <c r="E1021" s="4" t="str">
        <f>"久立发债"</f>
        <v>久立发债</v>
      </c>
      <c r="F1021" s="4">
        <v>100</v>
      </c>
      <c r="G1021" s="4">
        <v>10</v>
      </c>
      <c r="H1021" s="4">
        <v>1000</v>
      </c>
      <c r="I1021" s="12">
        <v>-1000</v>
      </c>
      <c r="J1021" s="4">
        <v>0</v>
      </c>
      <c r="K1021" s="4">
        <v>0</v>
      </c>
    </row>
    <row r="1022" spans="1:11">
      <c r="A1022" s="4" t="str">
        <f t="shared" ref="A1022:A1025" si="687">"20171113"</f>
        <v>20171113</v>
      </c>
      <c r="B1022" s="4" t="str">
        <f t="shared" ref="B1022:B1025" si="688">"20171113"</f>
        <v>20171113</v>
      </c>
      <c r="C1022" s="4" t="str">
        <f>"基金赎回拨入"</f>
        <v>基金赎回拨入</v>
      </c>
      <c r="D1022" s="4" t="str">
        <f>"AA0007"</f>
        <v>AA0007</v>
      </c>
      <c r="E1022" s="4" t="str">
        <f>"银河水星1号集合"</f>
        <v>银河水星1号集合</v>
      </c>
      <c r="F1022" s="4">
        <v>0</v>
      </c>
      <c r="G1022" s="4">
        <v>31631</v>
      </c>
      <c r="H1022" s="4">
        <v>0</v>
      </c>
      <c r="I1022" s="12">
        <v>31631.67</v>
      </c>
      <c r="J1022" s="4">
        <v>31631.67</v>
      </c>
      <c r="K1022" s="4">
        <v>0</v>
      </c>
    </row>
    <row r="1023" spans="1:11">
      <c r="A1023" s="4" t="str">
        <f t="shared" si="687"/>
        <v>20171113</v>
      </c>
      <c r="B1023" s="4" t="str">
        <f>"20171108"</f>
        <v>20171108</v>
      </c>
      <c r="C1023" s="4" t="str">
        <f>"配售股份"</f>
        <v>配售股份</v>
      </c>
      <c r="D1023" s="4" t="str">
        <f>"072318"</f>
        <v>072318</v>
      </c>
      <c r="E1023" s="4" t="str">
        <f>"久立发债"</f>
        <v>久立发债</v>
      </c>
      <c r="F1023" s="4">
        <v>100</v>
      </c>
      <c r="G1023" s="4">
        <v>10</v>
      </c>
      <c r="H1023" s="4">
        <v>1000</v>
      </c>
      <c r="I1023" s="12">
        <v>0</v>
      </c>
      <c r="J1023" s="4">
        <v>31631.67</v>
      </c>
      <c r="K1023" s="4">
        <v>10</v>
      </c>
    </row>
    <row r="1024" spans="1:11">
      <c r="A1024" s="4" t="str">
        <f t="shared" si="687"/>
        <v>20171113</v>
      </c>
      <c r="B1024" s="4" t="str">
        <f t="shared" si="688"/>
        <v>20171113</v>
      </c>
      <c r="C1024" s="4" t="str">
        <f t="shared" ref="C1024:C1029" si="689">"证券买入"</f>
        <v>证券买入</v>
      </c>
      <c r="D1024" s="4" t="str">
        <f>"150153"</f>
        <v>150153</v>
      </c>
      <c r="E1024" s="4" t="str">
        <f>"创业板B"</f>
        <v>创业板B</v>
      </c>
      <c r="F1024" s="4">
        <v>0.666</v>
      </c>
      <c r="G1024" s="4">
        <v>20000</v>
      </c>
      <c r="H1024" s="4">
        <v>13320</v>
      </c>
      <c r="I1024" s="12">
        <v>-13325</v>
      </c>
      <c r="J1024" s="4">
        <v>18306.67</v>
      </c>
      <c r="K1024" s="4">
        <v>20000</v>
      </c>
    </row>
    <row r="1025" spans="1:11">
      <c r="A1025" s="4" t="str">
        <f t="shared" si="687"/>
        <v>20171113</v>
      </c>
      <c r="B1025" s="4" t="str">
        <f t="shared" si="688"/>
        <v>20171113</v>
      </c>
      <c r="C1025" s="4" t="str">
        <f t="shared" si="689"/>
        <v>证券买入</v>
      </c>
      <c r="D1025" s="4" t="str">
        <f>"000768"</f>
        <v>000768</v>
      </c>
      <c r="E1025" s="4" t="str">
        <f>"中航飞机"</f>
        <v>中航飞机</v>
      </c>
      <c r="F1025" s="4">
        <v>18.3</v>
      </c>
      <c r="G1025" s="4">
        <v>1000</v>
      </c>
      <c r="H1025" s="4">
        <v>18300</v>
      </c>
      <c r="I1025" s="12">
        <v>-18305.67</v>
      </c>
      <c r="J1025" s="4">
        <v>1</v>
      </c>
      <c r="K1025" s="4">
        <v>1000</v>
      </c>
    </row>
    <row r="1026" spans="1:11">
      <c r="A1026" s="4" t="str">
        <f>"20171114"</f>
        <v>20171114</v>
      </c>
      <c r="B1026" s="4" t="str">
        <f>"20171114"</f>
        <v>20171114</v>
      </c>
      <c r="C1026" s="4" t="str">
        <f>"基金申购拨出"</f>
        <v>基金申购拨出</v>
      </c>
      <c r="D1026" s="4" t="str">
        <f t="shared" ref="D1026:D1030" si="690">"AA0007"</f>
        <v>AA0007</v>
      </c>
      <c r="E1026" s="4" t="str">
        <f t="shared" ref="E1026:E1030" si="691">"银河水星1号集合"</f>
        <v>银河水星1号集合</v>
      </c>
      <c r="F1026" s="4">
        <v>0</v>
      </c>
      <c r="G1026" s="4">
        <v>0</v>
      </c>
      <c r="H1026" s="4">
        <v>0</v>
      </c>
      <c r="I1026" s="12">
        <v>-18725.44</v>
      </c>
      <c r="J1026" s="4">
        <v>-18724.44</v>
      </c>
      <c r="K1026" s="4">
        <v>0</v>
      </c>
    </row>
    <row r="1027" spans="1:11">
      <c r="A1027" s="4" t="str">
        <f>"20171114"</f>
        <v>20171114</v>
      </c>
      <c r="B1027" s="4" t="str">
        <f>"20171114"</f>
        <v>20171114</v>
      </c>
      <c r="C1027" s="4" t="str">
        <f>"证券卖出"</f>
        <v>证券卖出</v>
      </c>
      <c r="D1027" s="4" t="str">
        <f>"000768"</f>
        <v>000768</v>
      </c>
      <c r="E1027" s="4" t="str">
        <f>"中航飞机"</f>
        <v>中航飞机</v>
      </c>
      <c r="F1027" s="4">
        <v>18.75</v>
      </c>
      <c r="G1027" s="4">
        <v>1000</v>
      </c>
      <c r="H1027" s="4">
        <v>18750</v>
      </c>
      <c r="I1027" s="12">
        <v>18725.44</v>
      </c>
      <c r="J1027" s="4">
        <v>1</v>
      </c>
      <c r="K1027" s="4">
        <v>0</v>
      </c>
    </row>
    <row r="1028" spans="1:11">
      <c r="A1028" s="4" t="str">
        <f>"20171115"</f>
        <v>20171115</v>
      </c>
      <c r="B1028" s="4" t="str">
        <f>"20171115"</f>
        <v>20171115</v>
      </c>
      <c r="C1028" s="4" t="str">
        <f t="shared" ref="C1028:C1032" si="692">"基金赎回拨入"</f>
        <v>基金赎回拨入</v>
      </c>
      <c r="D1028" s="4" t="str">
        <f t="shared" si="690"/>
        <v>AA0007</v>
      </c>
      <c r="E1028" s="4" t="str">
        <f t="shared" si="691"/>
        <v>银河水星1号集合</v>
      </c>
      <c r="F1028" s="4">
        <v>0</v>
      </c>
      <c r="G1028" s="4">
        <v>12745</v>
      </c>
      <c r="H1028" s="4">
        <v>0</v>
      </c>
      <c r="I1028" s="12">
        <v>12745</v>
      </c>
      <c r="J1028" s="4">
        <v>12746</v>
      </c>
      <c r="K1028" s="4">
        <v>0</v>
      </c>
    </row>
    <row r="1029" spans="1:11">
      <c r="A1029" s="4" t="str">
        <f>"20171115"</f>
        <v>20171115</v>
      </c>
      <c r="B1029" s="4" t="str">
        <f>"20171115"</f>
        <v>20171115</v>
      </c>
      <c r="C1029" s="4" t="str">
        <f t="shared" si="689"/>
        <v>证券买入</v>
      </c>
      <c r="D1029" s="4" t="str">
        <f>"150153"</f>
        <v>150153</v>
      </c>
      <c r="E1029" s="4" t="str">
        <f>"创业板B"</f>
        <v>创业板B</v>
      </c>
      <c r="F1029" s="4">
        <v>0.637</v>
      </c>
      <c r="G1029" s="4">
        <v>20000</v>
      </c>
      <c r="H1029" s="4">
        <v>12740</v>
      </c>
      <c r="I1029" s="12">
        <v>-12745</v>
      </c>
      <c r="J1029" s="4">
        <v>1</v>
      </c>
      <c r="K1029" s="4">
        <v>40000</v>
      </c>
    </row>
    <row r="1030" spans="1:11">
      <c r="A1030" s="4" t="str">
        <f>"20171116"</f>
        <v>20171116</v>
      </c>
      <c r="B1030" s="4" t="str">
        <f>"20171116"</f>
        <v>20171116</v>
      </c>
      <c r="C1030" s="4" t="str">
        <f t="shared" si="692"/>
        <v>基金赎回拨入</v>
      </c>
      <c r="D1030" s="4" t="str">
        <f t="shared" si="690"/>
        <v>AA0007</v>
      </c>
      <c r="E1030" s="4" t="str">
        <f t="shared" si="691"/>
        <v>银河水星1号集合</v>
      </c>
      <c r="F1030" s="4">
        <v>0</v>
      </c>
      <c r="G1030" s="4">
        <v>18035</v>
      </c>
      <c r="H1030" s="4">
        <v>0</v>
      </c>
      <c r="I1030" s="12">
        <v>18035.59</v>
      </c>
      <c r="J1030" s="4">
        <v>18036.59</v>
      </c>
      <c r="K1030" s="4">
        <v>0</v>
      </c>
    </row>
    <row r="1031" spans="1:11">
      <c r="A1031" s="4" t="str">
        <f>"20171116"</f>
        <v>20171116</v>
      </c>
      <c r="B1031" s="4" t="str">
        <f>"20171116"</f>
        <v>20171116</v>
      </c>
      <c r="C1031" s="4" t="str">
        <f>"证券买入"</f>
        <v>证券买入</v>
      </c>
      <c r="D1031" s="4" t="str">
        <f>"000768"</f>
        <v>000768</v>
      </c>
      <c r="E1031" s="4" t="str">
        <f>"中航飞机"</f>
        <v>中航飞机</v>
      </c>
      <c r="F1031" s="4">
        <v>18.03</v>
      </c>
      <c r="G1031" s="4">
        <v>1000</v>
      </c>
      <c r="H1031" s="4">
        <v>18030</v>
      </c>
      <c r="I1031" s="12">
        <v>-18035.59</v>
      </c>
      <c r="J1031" s="4">
        <v>1</v>
      </c>
      <c r="K1031" s="4">
        <v>1000</v>
      </c>
    </row>
    <row r="1032" spans="1:11">
      <c r="A1032" s="4" t="str">
        <f>"20171120"</f>
        <v>20171120</v>
      </c>
      <c r="B1032" s="4" t="str">
        <f>"20171120"</f>
        <v>20171120</v>
      </c>
      <c r="C1032" s="4" t="str">
        <f t="shared" si="692"/>
        <v>基金赎回拨入</v>
      </c>
      <c r="D1032" s="4" t="str">
        <f t="shared" ref="D1032:D1037" si="693">"AA0007"</f>
        <v>AA0007</v>
      </c>
      <c r="E1032" s="4" t="str">
        <f t="shared" ref="E1032:E1037" si="694">"银河水星1号集合"</f>
        <v>银河水星1号集合</v>
      </c>
      <c r="F1032" s="4">
        <v>0</v>
      </c>
      <c r="G1032" s="4">
        <v>22176</v>
      </c>
      <c r="H1032" s="4">
        <v>0</v>
      </c>
      <c r="I1032" s="12">
        <v>22176.87</v>
      </c>
      <c r="J1032" s="4">
        <v>22177.87</v>
      </c>
      <c r="K1032" s="4">
        <v>0</v>
      </c>
    </row>
    <row r="1033" spans="1:11">
      <c r="A1033" s="4" t="str">
        <f>"20171120"</f>
        <v>20171120</v>
      </c>
      <c r="B1033" s="4" t="str">
        <f>"20171120"</f>
        <v>20171120</v>
      </c>
      <c r="C1033" s="4" t="str">
        <f>"证券买入"</f>
        <v>证券买入</v>
      </c>
      <c r="D1033" s="4" t="str">
        <f>"000601"</f>
        <v>000601</v>
      </c>
      <c r="E1033" s="4" t="str">
        <f>"韶能股份"</f>
        <v>韶能股份</v>
      </c>
      <c r="F1033" s="4">
        <v>7.39</v>
      </c>
      <c r="G1033" s="4">
        <v>3000</v>
      </c>
      <c r="H1033" s="4">
        <v>22170</v>
      </c>
      <c r="I1033" s="12">
        <v>-22176.87</v>
      </c>
      <c r="J1033" s="4">
        <v>1</v>
      </c>
      <c r="K1033" s="4">
        <v>25200</v>
      </c>
    </row>
    <row r="1034" spans="1:11">
      <c r="A1034" s="4" t="str">
        <f t="shared" ref="A1034:A1036" si="695">"20171121"</f>
        <v>20171121</v>
      </c>
      <c r="B1034" s="4" t="str">
        <f>"20171121"</f>
        <v>20171121</v>
      </c>
      <c r="C1034" s="4" t="str">
        <f>"基金申购拨出"</f>
        <v>基金申购拨出</v>
      </c>
      <c r="D1034" s="4" t="str">
        <f t="shared" si="693"/>
        <v>AA0007</v>
      </c>
      <c r="E1034" s="4" t="str">
        <f t="shared" si="694"/>
        <v>银河水星1号集合</v>
      </c>
      <c r="F1034" s="4">
        <v>0</v>
      </c>
      <c r="G1034" s="4">
        <v>0</v>
      </c>
      <c r="H1034" s="4">
        <v>0</v>
      </c>
      <c r="I1034" s="12">
        <v>-22530.45</v>
      </c>
      <c r="J1034" s="4">
        <v>-22529.45</v>
      </c>
      <c r="K1034" s="4">
        <v>0</v>
      </c>
    </row>
    <row r="1035" spans="1:11">
      <c r="A1035" s="4" t="str">
        <f t="shared" si="695"/>
        <v>20171121</v>
      </c>
      <c r="B1035" s="4" t="str">
        <f>"20171108"</f>
        <v>20171108</v>
      </c>
      <c r="C1035" s="4" t="str">
        <f>"新股入帐"</f>
        <v>新股入帐</v>
      </c>
      <c r="D1035" s="4" t="str">
        <f>"128019"</f>
        <v>128019</v>
      </c>
      <c r="E1035" s="4" t="str">
        <f>"新代码"</f>
        <v>新代码</v>
      </c>
      <c r="F1035" s="4">
        <v>0</v>
      </c>
      <c r="G1035" s="4">
        <v>10</v>
      </c>
      <c r="H1035" s="4">
        <v>0</v>
      </c>
      <c r="I1035" s="12">
        <v>0</v>
      </c>
      <c r="J1035" s="4">
        <v>-22529.45</v>
      </c>
      <c r="K1035" s="4">
        <v>10</v>
      </c>
    </row>
    <row r="1036" spans="1:11">
      <c r="A1036" s="4" t="str">
        <f t="shared" si="695"/>
        <v>20171121</v>
      </c>
      <c r="B1036" s="4" t="str">
        <f>"20171121"</f>
        <v>20171121</v>
      </c>
      <c r="C1036" s="4" t="str">
        <f t="shared" ref="C1036:C1041" si="696">"证券卖出"</f>
        <v>证券卖出</v>
      </c>
      <c r="D1036" s="4" t="str">
        <f>"000601"</f>
        <v>000601</v>
      </c>
      <c r="E1036" s="4" t="str">
        <f>"韶能股份"</f>
        <v>韶能股份</v>
      </c>
      <c r="F1036" s="4">
        <v>7.52</v>
      </c>
      <c r="G1036" s="4">
        <v>3000</v>
      </c>
      <c r="H1036" s="4">
        <v>22560</v>
      </c>
      <c r="I1036" s="12">
        <v>22530.45</v>
      </c>
      <c r="J1036" s="4">
        <v>1</v>
      </c>
      <c r="K1036" s="4">
        <v>22200</v>
      </c>
    </row>
    <row r="1037" spans="1:11">
      <c r="A1037" s="4" t="str">
        <f>"20171123"</f>
        <v>20171123</v>
      </c>
      <c r="B1037" s="4" t="str">
        <f>"20171123"</f>
        <v>20171123</v>
      </c>
      <c r="C1037" s="4" t="str">
        <f>"基金赎回拨入"</f>
        <v>基金赎回拨入</v>
      </c>
      <c r="D1037" s="4" t="str">
        <f t="shared" si="693"/>
        <v>AA0007</v>
      </c>
      <c r="E1037" s="4" t="str">
        <f t="shared" si="694"/>
        <v>银河水星1号集合</v>
      </c>
      <c r="F1037" s="4">
        <v>0</v>
      </c>
      <c r="G1037" s="4">
        <v>10305</v>
      </c>
      <c r="H1037" s="4">
        <v>0</v>
      </c>
      <c r="I1037" s="12">
        <v>10305</v>
      </c>
      <c r="J1037" s="4">
        <v>10306</v>
      </c>
      <c r="K1037" s="4">
        <v>0</v>
      </c>
    </row>
    <row r="1038" spans="1:11">
      <c r="A1038" s="4" t="str">
        <f>"20171123"</f>
        <v>20171123</v>
      </c>
      <c r="B1038" s="4" t="str">
        <f>"20171123"</f>
        <v>20171123</v>
      </c>
      <c r="C1038" s="4" t="str">
        <f>"证券买入"</f>
        <v>证券买入</v>
      </c>
      <c r="D1038" s="4" t="str">
        <f>"150201"</f>
        <v>150201</v>
      </c>
      <c r="E1038" s="4" t="str">
        <f>"券商B"</f>
        <v>券商B</v>
      </c>
      <c r="F1038" s="4">
        <v>0.515</v>
      </c>
      <c r="G1038" s="4">
        <v>20000</v>
      </c>
      <c r="H1038" s="4">
        <v>10300</v>
      </c>
      <c r="I1038" s="12">
        <v>-10305</v>
      </c>
      <c r="J1038" s="4">
        <v>1</v>
      </c>
      <c r="K1038" s="4">
        <v>20000</v>
      </c>
    </row>
    <row r="1039" spans="1:11">
      <c r="A1039" s="4" t="str">
        <f t="shared" ref="A1039:A1043" si="697">"20171201"</f>
        <v>20171201</v>
      </c>
      <c r="B1039" s="4" t="str">
        <f t="shared" ref="B1039:B1043" si="698">"20171201"</f>
        <v>20171201</v>
      </c>
      <c r="C1039" s="4" t="str">
        <f>"基金申购拨出"</f>
        <v>基金申购拨出</v>
      </c>
      <c r="D1039" s="4" t="str">
        <f>"AA0007"</f>
        <v>AA0007</v>
      </c>
      <c r="E1039" s="4" t="str">
        <f>"银河水星1号集合"</f>
        <v>银河水星1号集合</v>
      </c>
      <c r="F1039" s="4">
        <v>0</v>
      </c>
      <c r="G1039" s="4">
        <v>0</v>
      </c>
      <c r="H1039" s="4">
        <v>0</v>
      </c>
      <c r="I1039" s="12">
        <v>-7104.09</v>
      </c>
      <c r="J1039" s="4">
        <v>-7103.09</v>
      </c>
      <c r="K1039" s="4">
        <v>0</v>
      </c>
    </row>
    <row r="1040" spans="1:11">
      <c r="A1040" s="4" t="str">
        <f t="shared" si="697"/>
        <v>20171201</v>
      </c>
      <c r="B1040" s="4" t="str">
        <f t="shared" si="698"/>
        <v>20171201</v>
      </c>
      <c r="C1040" s="4" t="str">
        <f t="shared" si="696"/>
        <v>证券卖出</v>
      </c>
      <c r="D1040" s="4" t="str">
        <f>"128019"</f>
        <v>128019</v>
      </c>
      <c r="E1040" s="4" t="str">
        <f>"久立转2"</f>
        <v>久立转2</v>
      </c>
      <c r="F1040" s="4">
        <v>101.01</v>
      </c>
      <c r="G1040" s="4">
        <v>10</v>
      </c>
      <c r="H1040" s="4">
        <v>1010.1</v>
      </c>
      <c r="I1040" s="12">
        <v>1009.09</v>
      </c>
      <c r="J1040" s="4">
        <v>-6094</v>
      </c>
      <c r="K1040" s="4">
        <v>0</v>
      </c>
    </row>
    <row r="1041" spans="1:11">
      <c r="A1041" s="4" t="str">
        <f t="shared" si="697"/>
        <v>20171201</v>
      </c>
      <c r="B1041" s="4" t="str">
        <f t="shared" si="698"/>
        <v>20171201</v>
      </c>
      <c r="C1041" s="4" t="str">
        <f t="shared" si="696"/>
        <v>证券卖出</v>
      </c>
      <c r="D1041" s="4" t="str">
        <f>"162411"</f>
        <v>162411</v>
      </c>
      <c r="E1041" s="4" t="str">
        <f>"华宝油气"</f>
        <v>华宝油气</v>
      </c>
      <c r="F1041" s="4">
        <v>0.579</v>
      </c>
      <c r="G1041" s="4">
        <v>10000</v>
      </c>
      <c r="H1041" s="4">
        <v>5790</v>
      </c>
      <c r="I1041" s="12">
        <v>5785</v>
      </c>
      <c r="J1041" s="4">
        <v>-309</v>
      </c>
      <c r="K1041" s="4">
        <v>0</v>
      </c>
    </row>
    <row r="1042" spans="1:11">
      <c r="A1042" s="4" t="str">
        <f t="shared" si="697"/>
        <v>20171201</v>
      </c>
      <c r="B1042" s="4" t="str">
        <f t="shared" si="698"/>
        <v>20171201</v>
      </c>
      <c r="C1042" s="4" t="str">
        <f>"证券买入"</f>
        <v>证券买入</v>
      </c>
      <c r="D1042" s="4" t="str">
        <f t="shared" ref="D1042:D1046" si="699">"150153"</f>
        <v>150153</v>
      </c>
      <c r="E1042" s="4" t="str">
        <f t="shared" ref="E1042:E1046" si="700">"创业板B"</f>
        <v>创业板B</v>
      </c>
      <c r="F1042" s="4">
        <v>0.588</v>
      </c>
      <c r="G1042" s="4">
        <v>20000</v>
      </c>
      <c r="H1042" s="4">
        <v>11760</v>
      </c>
      <c r="I1042" s="12">
        <v>-11765</v>
      </c>
      <c r="J1042" s="4">
        <v>-12074</v>
      </c>
      <c r="K1042" s="4">
        <v>60000</v>
      </c>
    </row>
    <row r="1043" spans="1:11">
      <c r="A1043" s="4" t="str">
        <f t="shared" si="697"/>
        <v>20171201</v>
      </c>
      <c r="B1043" s="4" t="str">
        <f t="shared" si="698"/>
        <v>20171201</v>
      </c>
      <c r="C1043" s="4" t="str">
        <f>"证券卖出"</f>
        <v>证券卖出</v>
      </c>
      <c r="D1043" s="4" t="str">
        <f t="shared" si="699"/>
        <v>150153</v>
      </c>
      <c r="E1043" s="4" t="str">
        <f t="shared" si="700"/>
        <v>创业板B</v>
      </c>
      <c r="F1043" s="4">
        <v>0.604</v>
      </c>
      <c r="G1043" s="4">
        <v>20000</v>
      </c>
      <c r="H1043" s="4">
        <v>12080</v>
      </c>
      <c r="I1043" s="12">
        <v>12075</v>
      </c>
      <c r="J1043" s="4">
        <v>1</v>
      </c>
      <c r="K1043" s="4">
        <v>40000</v>
      </c>
    </row>
    <row r="1044" spans="1:11">
      <c r="A1044" s="4" t="str">
        <f t="shared" ref="A1044:A1046" si="701">"20171204"</f>
        <v>20171204</v>
      </c>
      <c r="B1044" s="4" t="str">
        <f t="shared" ref="B1044:B1046" si="702">"20171204"</f>
        <v>20171204</v>
      </c>
      <c r="C1044" s="4" t="str">
        <f>"基金赎回拨入"</f>
        <v>基金赎回拨入</v>
      </c>
      <c r="D1044" s="4" t="str">
        <f>"AA0007"</f>
        <v>AA0007</v>
      </c>
      <c r="E1044" s="4" t="str">
        <f>"银河水星1号集合"</f>
        <v>银河水星1号集合</v>
      </c>
      <c r="F1044" s="4">
        <v>0</v>
      </c>
      <c r="G1044" s="4">
        <v>70</v>
      </c>
      <c r="H1044" s="4">
        <v>0</v>
      </c>
      <c r="I1044" s="12">
        <v>70</v>
      </c>
      <c r="J1044" s="4">
        <v>71</v>
      </c>
      <c r="K1044" s="4">
        <v>0</v>
      </c>
    </row>
    <row r="1045" spans="1:11">
      <c r="A1045" s="4" t="str">
        <f t="shared" si="701"/>
        <v>20171204</v>
      </c>
      <c r="B1045" s="4" t="str">
        <f t="shared" si="702"/>
        <v>20171204</v>
      </c>
      <c r="C1045" s="4" t="str">
        <f>"证券买入"</f>
        <v>证券买入</v>
      </c>
      <c r="D1045" s="4" t="str">
        <f t="shared" si="699"/>
        <v>150153</v>
      </c>
      <c r="E1045" s="4" t="str">
        <f t="shared" si="700"/>
        <v>创业板B</v>
      </c>
      <c r="F1045" s="4">
        <v>0.599</v>
      </c>
      <c r="G1045" s="4">
        <v>20000</v>
      </c>
      <c r="H1045" s="4">
        <v>11980</v>
      </c>
      <c r="I1045" s="12">
        <v>-11985</v>
      </c>
      <c r="J1045" s="4">
        <v>-11914</v>
      </c>
      <c r="K1045" s="4">
        <v>60000</v>
      </c>
    </row>
    <row r="1046" spans="1:11">
      <c r="A1046" s="4" t="str">
        <f t="shared" si="701"/>
        <v>20171204</v>
      </c>
      <c r="B1046" s="4" t="str">
        <f t="shared" si="702"/>
        <v>20171204</v>
      </c>
      <c r="C1046" s="4" t="str">
        <f>"证券卖出"</f>
        <v>证券卖出</v>
      </c>
      <c r="D1046" s="4" t="str">
        <f t="shared" si="699"/>
        <v>150153</v>
      </c>
      <c r="E1046" s="4" t="str">
        <f t="shared" si="700"/>
        <v>创业板B</v>
      </c>
      <c r="F1046" s="4">
        <v>0.596</v>
      </c>
      <c r="G1046" s="4">
        <v>20000</v>
      </c>
      <c r="H1046" s="4">
        <v>11920</v>
      </c>
      <c r="I1046" s="12">
        <v>11915</v>
      </c>
      <c r="J1046" s="4">
        <v>1</v>
      </c>
      <c r="K1046" s="4">
        <v>40000</v>
      </c>
    </row>
    <row r="1047" spans="1:11">
      <c r="A1047" s="4" t="str">
        <f>"20171205"</f>
        <v>20171205</v>
      </c>
      <c r="B1047" s="4" t="str">
        <f>"20171205"</f>
        <v>20171205</v>
      </c>
      <c r="C1047" s="4" t="str">
        <f>"删除过期证券"</f>
        <v>删除过期证券</v>
      </c>
      <c r="D1047" s="4" t="str">
        <f>"072318"</f>
        <v>072318</v>
      </c>
      <c r="E1047" s="4" t="str">
        <f>"久立发债"</f>
        <v>久立发债</v>
      </c>
      <c r="F1047" s="4">
        <v>0</v>
      </c>
      <c r="G1047" s="4">
        <v>0</v>
      </c>
      <c r="H1047" s="4">
        <v>0</v>
      </c>
      <c r="I1047" s="12">
        <v>0</v>
      </c>
      <c r="J1047" s="4">
        <v>1</v>
      </c>
      <c r="K1047" s="4">
        <v>0</v>
      </c>
    </row>
    <row r="1048" spans="1:11">
      <c r="A1048" s="4" t="str">
        <f>"20171206"</f>
        <v>20171206</v>
      </c>
      <c r="B1048" s="4" t="str">
        <f>"20171206"</f>
        <v>20171206</v>
      </c>
      <c r="C1048" s="4" t="str">
        <f>"基金赎回拨入"</f>
        <v>基金赎回拨入</v>
      </c>
      <c r="D1048" s="4" t="str">
        <f>"AA0007"</f>
        <v>AA0007</v>
      </c>
      <c r="E1048" s="4" t="str">
        <f>"银河水星1号集合"</f>
        <v>银河水星1号集合</v>
      </c>
      <c r="F1048" s="4">
        <v>0</v>
      </c>
      <c r="G1048" s="4">
        <v>999</v>
      </c>
      <c r="H1048" s="4">
        <v>0</v>
      </c>
      <c r="I1048" s="12">
        <v>999</v>
      </c>
      <c r="J1048" s="4">
        <v>1000</v>
      </c>
      <c r="K1048" s="4">
        <v>0</v>
      </c>
    </row>
    <row r="1049" spans="1:11">
      <c r="A1049" s="4" t="str">
        <f>"20171206"</f>
        <v>20171206</v>
      </c>
      <c r="B1049" s="4" t="str">
        <f>"20171204"</f>
        <v>20171204</v>
      </c>
      <c r="C1049" s="4" t="str">
        <f t="shared" ref="C1049:C1054" si="703">"配售缴款"</f>
        <v>配售缴款</v>
      </c>
      <c r="D1049" s="4" t="str">
        <f>"072284"</f>
        <v>072284</v>
      </c>
      <c r="E1049" s="4" t="str">
        <f>"亚太发债"</f>
        <v>亚太发债</v>
      </c>
      <c r="F1049" s="4">
        <v>100</v>
      </c>
      <c r="G1049" s="4">
        <v>10</v>
      </c>
      <c r="H1049" s="4">
        <v>1000</v>
      </c>
      <c r="I1049" s="12">
        <v>-1000</v>
      </c>
      <c r="J1049" s="4">
        <v>0</v>
      </c>
      <c r="K1049" s="4">
        <v>0</v>
      </c>
    </row>
    <row r="1050" spans="1:11">
      <c r="A1050" s="4" t="str">
        <f t="shared" ref="A1050:A1054" si="704">"20171207"</f>
        <v>20171207</v>
      </c>
      <c r="B1050" s="4" t="str">
        <f>"20171207"</f>
        <v>20171207</v>
      </c>
      <c r="C1050" s="4" t="str">
        <f>"基金赎回拨入"</f>
        <v>基金赎回拨入</v>
      </c>
      <c r="D1050" s="4" t="str">
        <f>"AA0007"</f>
        <v>AA0007</v>
      </c>
      <c r="E1050" s="4" t="str">
        <f>"银河水星1号集合"</f>
        <v>银河水星1号集合</v>
      </c>
      <c r="F1050" s="4">
        <v>0</v>
      </c>
      <c r="G1050" s="4">
        <v>15076</v>
      </c>
      <c r="H1050" s="4">
        <v>0</v>
      </c>
      <c r="I1050" s="12">
        <v>15076</v>
      </c>
      <c r="J1050" s="4">
        <v>15076</v>
      </c>
      <c r="K1050" s="4">
        <v>0</v>
      </c>
    </row>
    <row r="1051" spans="1:11">
      <c r="A1051" s="4" t="str">
        <f t="shared" si="704"/>
        <v>20171207</v>
      </c>
      <c r="B1051" s="4" t="str">
        <f>"20171204"</f>
        <v>20171204</v>
      </c>
      <c r="C1051" s="4" t="str">
        <f>"配售股份"</f>
        <v>配售股份</v>
      </c>
      <c r="D1051" s="4" t="str">
        <f>"072284"</f>
        <v>072284</v>
      </c>
      <c r="E1051" s="4" t="str">
        <f>"亚太发债"</f>
        <v>亚太发债</v>
      </c>
      <c r="F1051" s="4">
        <v>100</v>
      </c>
      <c r="G1051" s="4">
        <v>10</v>
      </c>
      <c r="H1051" s="4">
        <v>1000</v>
      </c>
      <c r="I1051" s="12">
        <v>0</v>
      </c>
      <c r="J1051" s="4">
        <v>15076</v>
      </c>
      <c r="K1051" s="4">
        <v>10</v>
      </c>
    </row>
    <row r="1052" spans="1:11">
      <c r="A1052" s="4" t="str">
        <f t="shared" si="704"/>
        <v>20171207</v>
      </c>
      <c r="B1052" s="4" t="str">
        <f>"20171207"</f>
        <v>20171207</v>
      </c>
      <c r="C1052" s="4" t="str">
        <f>"证券买入"</f>
        <v>证券买入</v>
      </c>
      <c r="D1052" s="4" t="str">
        <f>"150153"</f>
        <v>150153</v>
      </c>
      <c r="E1052" s="4" t="str">
        <f>"创业板B"</f>
        <v>创业板B</v>
      </c>
      <c r="F1052" s="4">
        <v>0.595</v>
      </c>
      <c r="G1052" s="4">
        <v>20000</v>
      </c>
      <c r="H1052" s="4">
        <v>11900</v>
      </c>
      <c r="I1052" s="12">
        <v>-11905</v>
      </c>
      <c r="J1052" s="4">
        <v>3171</v>
      </c>
      <c r="K1052" s="4">
        <v>60000</v>
      </c>
    </row>
    <row r="1053" spans="1:11">
      <c r="A1053" s="4" t="str">
        <f t="shared" si="704"/>
        <v>20171207</v>
      </c>
      <c r="B1053" s="4" t="str">
        <f t="shared" ref="B1053:B1057" si="705">"20171205"</f>
        <v>20171205</v>
      </c>
      <c r="C1053" s="4" t="str">
        <f t="shared" si="703"/>
        <v>配售缴款</v>
      </c>
      <c r="D1053" s="4" t="str">
        <f>"730025"</f>
        <v>730025</v>
      </c>
      <c r="E1053" s="4" t="str">
        <f>"华能申购"</f>
        <v>华能申购</v>
      </c>
      <c r="F1053" s="4">
        <v>2.17</v>
      </c>
      <c r="G1053" s="4">
        <v>1000</v>
      </c>
      <c r="H1053" s="4">
        <v>2170</v>
      </c>
      <c r="I1053" s="12">
        <v>-2170</v>
      </c>
      <c r="J1053" s="4">
        <v>1001</v>
      </c>
      <c r="K1053" s="4">
        <v>0</v>
      </c>
    </row>
    <row r="1054" spans="1:11">
      <c r="A1054" s="4" t="str">
        <f t="shared" si="704"/>
        <v>20171207</v>
      </c>
      <c r="B1054" s="4" t="str">
        <f t="shared" si="705"/>
        <v>20171205</v>
      </c>
      <c r="C1054" s="4" t="str">
        <f t="shared" si="703"/>
        <v>配售缴款</v>
      </c>
      <c r="D1054" s="4" t="str">
        <f>"072142"</f>
        <v>072142</v>
      </c>
      <c r="E1054" s="4" t="str">
        <f>"宁行发债"</f>
        <v>宁行发债</v>
      </c>
      <c r="F1054" s="4">
        <v>100</v>
      </c>
      <c r="G1054" s="4">
        <v>10</v>
      </c>
      <c r="H1054" s="4">
        <v>1000</v>
      </c>
      <c r="I1054" s="12">
        <v>-1000</v>
      </c>
      <c r="J1054" s="4">
        <v>1</v>
      </c>
      <c r="K1054" s="4">
        <v>0</v>
      </c>
    </row>
    <row r="1055" spans="1:11">
      <c r="A1055" s="4" t="str">
        <f t="shared" ref="A1055:A1058" si="706">"20171208"</f>
        <v>20171208</v>
      </c>
      <c r="B1055" s="4" t="str">
        <f>"20171208"</f>
        <v>20171208</v>
      </c>
      <c r="C1055" s="4" t="str">
        <f>"基金申购拨出"</f>
        <v>基金申购拨出</v>
      </c>
      <c r="D1055" s="4" t="str">
        <f>"AA0007"</f>
        <v>AA0007</v>
      </c>
      <c r="E1055" s="4" t="str">
        <f>"银河水星1号集合"</f>
        <v>银河水星1号集合</v>
      </c>
      <c r="F1055" s="4">
        <v>0</v>
      </c>
      <c r="G1055" s="4">
        <v>0</v>
      </c>
      <c r="H1055" s="4">
        <v>0</v>
      </c>
      <c r="I1055" s="12">
        <v>-12095</v>
      </c>
      <c r="J1055" s="4">
        <v>-12094</v>
      </c>
      <c r="K1055" s="4">
        <v>0</v>
      </c>
    </row>
    <row r="1056" spans="1:11">
      <c r="A1056" s="4" t="str">
        <f t="shared" si="706"/>
        <v>20171208</v>
      </c>
      <c r="B1056" s="4" t="str">
        <f t="shared" si="705"/>
        <v>20171205</v>
      </c>
      <c r="C1056" s="4" t="str">
        <f>"配售股份"</f>
        <v>配售股份</v>
      </c>
      <c r="D1056" s="4" t="str">
        <f>"730025"</f>
        <v>730025</v>
      </c>
      <c r="E1056" s="4" t="str">
        <f>"华能申购"</f>
        <v>华能申购</v>
      </c>
      <c r="F1056" s="4">
        <v>2.17</v>
      </c>
      <c r="G1056" s="4">
        <v>1000</v>
      </c>
      <c r="H1056" s="4">
        <v>2170</v>
      </c>
      <c r="I1056" s="12">
        <v>0</v>
      </c>
      <c r="J1056" s="4">
        <v>-12094</v>
      </c>
      <c r="K1056" s="4">
        <v>1000</v>
      </c>
    </row>
    <row r="1057" spans="1:11">
      <c r="A1057" s="4" t="str">
        <f t="shared" si="706"/>
        <v>20171208</v>
      </c>
      <c r="B1057" s="4" t="str">
        <f t="shared" si="705"/>
        <v>20171205</v>
      </c>
      <c r="C1057" s="4" t="str">
        <f>"配售股份"</f>
        <v>配售股份</v>
      </c>
      <c r="D1057" s="4" t="str">
        <f>"072142"</f>
        <v>072142</v>
      </c>
      <c r="E1057" s="4" t="str">
        <f>"宁行发债"</f>
        <v>宁行发债</v>
      </c>
      <c r="F1057" s="4">
        <v>100</v>
      </c>
      <c r="G1057" s="4">
        <v>10</v>
      </c>
      <c r="H1057" s="4">
        <v>1000</v>
      </c>
      <c r="I1057" s="12">
        <v>0</v>
      </c>
      <c r="J1057" s="4">
        <v>-12094</v>
      </c>
      <c r="K1057" s="4">
        <v>10</v>
      </c>
    </row>
    <row r="1058" spans="1:11">
      <c r="A1058" s="4" t="str">
        <f t="shared" si="706"/>
        <v>20171208</v>
      </c>
      <c r="B1058" s="4" t="str">
        <f>"20171208"</f>
        <v>20171208</v>
      </c>
      <c r="C1058" s="4" t="str">
        <f>"证券卖出"</f>
        <v>证券卖出</v>
      </c>
      <c r="D1058" s="4" t="str">
        <f>"150153"</f>
        <v>150153</v>
      </c>
      <c r="E1058" s="4" t="str">
        <f>"创业板B"</f>
        <v>创业板B</v>
      </c>
      <c r="F1058" s="4">
        <v>0.605</v>
      </c>
      <c r="G1058" s="4">
        <v>20000</v>
      </c>
      <c r="H1058" s="4">
        <v>12100</v>
      </c>
      <c r="I1058" s="12">
        <v>12095</v>
      </c>
      <c r="J1058" s="4">
        <v>1</v>
      </c>
      <c r="K1058" s="4">
        <v>40000</v>
      </c>
    </row>
    <row r="1059" spans="1:11">
      <c r="A1059" s="4" t="str">
        <f t="shared" ref="A1059:A1061" si="707">"20171211"</f>
        <v>20171211</v>
      </c>
      <c r="B1059" s="4" t="str">
        <f>"20171211"</f>
        <v>20171211</v>
      </c>
      <c r="C1059" s="4" t="str">
        <f>"基金赎回拨入"</f>
        <v>基金赎回拨入</v>
      </c>
      <c r="D1059" s="4" t="str">
        <f>"AA0007"</f>
        <v>AA0007</v>
      </c>
      <c r="E1059" s="4" t="str">
        <f>"银河水星1号集合"</f>
        <v>银河水星1号集合</v>
      </c>
      <c r="F1059" s="4">
        <v>0</v>
      </c>
      <c r="G1059" s="4">
        <v>9305</v>
      </c>
      <c r="H1059" s="4">
        <v>0</v>
      </c>
      <c r="I1059" s="12">
        <v>9305</v>
      </c>
      <c r="J1059" s="4">
        <v>9306</v>
      </c>
      <c r="K1059" s="4">
        <v>0</v>
      </c>
    </row>
    <row r="1060" spans="1:11">
      <c r="A1060" s="4" t="str">
        <f t="shared" si="707"/>
        <v>20171211</v>
      </c>
      <c r="B1060" s="4" t="str">
        <f>"20171204"</f>
        <v>20171204</v>
      </c>
      <c r="C1060" s="4" t="str">
        <f>"新股入帐"</f>
        <v>新股入帐</v>
      </c>
      <c r="D1060" s="4" t="str">
        <f>"128023"</f>
        <v>128023</v>
      </c>
      <c r="E1060" s="4" t="str">
        <f>"新代码"</f>
        <v>新代码</v>
      </c>
      <c r="F1060" s="4">
        <v>0</v>
      </c>
      <c r="G1060" s="4">
        <v>10</v>
      </c>
      <c r="H1060" s="4">
        <v>0</v>
      </c>
      <c r="I1060" s="12">
        <v>0</v>
      </c>
      <c r="J1060" s="4">
        <v>9306</v>
      </c>
      <c r="K1060" s="4">
        <v>10</v>
      </c>
    </row>
    <row r="1061" spans="1:11">
      <c r="A1061" s="4" t="str">
        <f t="shared" si="707"/>
        <v>20171211</v>
      </c>
      <c r="B1061" s="4" t="str">
        <f>"20171211"</f>
        <v>20171211</v>
      </c>
      <c r="C1061" s="4" t="str">
        <f>"证券买入"</f>
        <v>证券买入</v>
      </c>
      <c r="D1061" s="4" t="str">
        <f>"150201"</f>
        <v>150201</v>
      </c>
      <c r="E1061" s="4" t="str">
        <f>"券商B"</f>
        <v>券商B</v>
      </c>
      <c r="F1061" s="4">
        <v>0.465</v>
      </c>
      <c r="G1061" s="4">
        <v>20000</v>
      </c>
      <c r="H1061" s="4">
        <v>9300</v>
      </c>
      <c r="I1061" s="12">
        <v>-9305</v>
      </c>
      <c r="J1061" s="4">
        <v>1</v>
      </c>
      <c r="K1061" s="4">
        <v>40000</v>
      </c>
    </row>
    <row r="1062" spans="1:11">
      <c r="A1062" s="4" t="str">
        <f>"20171214"</f>
        <v>20171214</v>
      </c>
      <c r="B1062" s="4" t="str">
        <f>"20171205"</f>
        <v>20171205</v>
      </c>
      <c r="C1062" s="4" t="str">
        <f>"新股入帐"</f>
        <v>新股入帐</v>
      </c>
      <c r="D1062" s="4" t="str">
        <f>"600025"</f>
        <v>600025</v>
      </c>
      <c r="E1062" s="4" t="str">
        <f>"新代码"</f>
        <v>新代码</v>
      </c>
      <c r="F1062" s="4">
        <v>0</v>
      </c>
      <c r="G1062" s="4">
        <v>1000</v>
      </c>
      <c r="H1062" s="4">
        <v>0</v>
      </c>
      <c r="I1062" s="12">
        <v>0</v>
      </c>
      <c r="J1062" s="4">
        <v>1</v>
      </c>
      <c r="K1062" s="4">
        <v>1000</v>
      </c>
    </row>
    <row r="1063" spans="1:11">
      <c r="A1063" s="4" t="str">
        <f>"20171215"</f>
        <v>20171215</v>
      </c>
      <c r="B1063" s="4" t="str">
        <f>"20171215"</f>
        <v>20171215</v>
      </c>
      <c r="C1063" s="4" t="str">
        <f>"基金申购拨出"</f>
        <v>基金申购拨出</v>
      </c>
      <c r="D1063" s="4" t="str">
        <f>"AA0007"</f>
        <v>AA0007</v>
      </c>
      <c r="E1063" s="4" t="str">
        <f>"银河水星1号集合"</f>
        <v>银河水星1号集合</v>
      </c>
      <c r="F1063" s="4">
        <v>0</v>
      </c>
      <c r="G1063" s="4">
        <v>0</v>
      </c>
      <c r="H1063" s="4">
        <v>0</v>
      </c>
      <c r="I1063" s="12">
        <v>-15515</v>
      </c>
      <c r="J1063" s="4">
        <v>-15514</v>
      </c>
      <c r="K1063" s="4">
        <v>0</v>
      </c>
    </row>
    <row r="1064" spans="1:11">
      <c r="A1064" s="4" t="str">
        <f>"20171215"</f>
        <v>20171215</v>
      </c>
      <c r="B1064" s="4" t="str">
        <f>"20171215"</f>
        <v>20171215</v>
      </c>
      <c r="C1064" s="4" t="str">
        <f>"证券卖出"</f>
        <v>证券卖出</v>
      </c>
      <c r="D1064" s="4" t="str">
        <f>"150201"</f>
        <v>150201</v>
      </c>
      <c r="E1064" s="4" t="str">
        <f>"券商B"</f>
        <v>券商B</v>
      </c>
      <c r="F1064" s="4">
        <v>0.388</v>
      </c>
      <c r="G1064" s="4">
        <v>40000</v>
      </c>
      <c r="H1064" s="4">
        <v>15520</v>
      </c>
      <c r="I1064" s="12">
        <v>15515</v>
      </c>
      <c r="J1064" s="4">
        <v>1</v>
      </c>
      <c r="K1064" s="4">
        <v>0</v>
      </c>
    </row>
    <row r="1065" spans="1:11">
      <c r="A1065" s="4" t="str">
        <f>"20171218"</f>
        <v>20171218</v>
      </c>
      <c r="B1065" s="4" t="str">
        <f>"20171218"</f>
        <v>20171218</v>
      </c>
      <c r="C1065" s="4" t="str">
        <f>"基金上折"</f>
        <v>基金上折</v>
      </c>
      <c r="D1065" s="4" t="str">
        <f>"161024"</f>
        <v>161024</v>
      </c>
      <c r="E1065" s="4" t="str">
        <f>"军工分级"</f>
        <v>军工分级</v>
      </c>
      <c r="F1065" s="4">
        <v>0</v>
      </c>
      <c r="G1065" s="4">
        <v>55</v>
      </c>
      <c r="H1065" s="4">
        <v>0</v>
      </c>
      <c r="I1065" s="12">
        <v>0</v>
      </c>
      <c r="J1065" s="4">
        <v>1</v>
      </c>
      <c r="K1065" s="4">
        <v>2176</v>
      </c>
    </row>
    <row r="1066" spans="1:11">
      <c r="A1066" s="4" t="str">
        <f t="shared" ref="A1066:A1069" si="708">"20171220"</f>
        <v>20171220</v>
      </c>
      <c r="B1066" s="4" t="str">
        <f t="shared" ref="B1066:B1069" si="709">"20171220"</f>
        <v>20171220</v>
      </c>
      <c r="C1066" s="4" t="str">
        <f>"银行转证券"</f>
        <v>银行转证券</v>
      </c>
      <c r="D1066" s="4"/>
      <c r="E1066" s="4"/>
      <c r="F1066" s="4">
        <v>0</v>
      </c>
      <c r="G1066" s="4">
        <v>0</v>
      </c>
      <c r="H1066" s="4">
        <v>0</v>
      </c>
      <c r="I1066" s="12">
        <v>32000</v>
      </c>
      <c r="J1066" s="4">
        <v>32001</v>
      </c>
      <c r="K1066" s="4">
        <v>0</v>
      </c>
    </row>
    <row r="1067" spans="1:11">
      <c r="A1067" s="4" t="str">
        <f t="shared" si="708"/>
        <v>20171220</v>
      </c>
      <c r="B1067" s="4" t="str">
        <f t="shared" si="709"/>
        <v>20171220</v>
      </c>
      <c r="C1067" s="4" t="str">
        <f>"利息归本"</f>
        <v>利息归本</v>
      </c>
      <c r="D1067" s="4"/>
      <c r="E1067" s="4"/>
      <c r="F1067" s="4">
        <v>0</v>
      </c>
      <c r="G1067" s="4">
        <v>0</v>
      </c>
      <c r="H1067" s="4">
        <v>0</v>
      </c>
      <c r="I1067" s="12">
        <v>3.53</v>
      </c>
      <c r="J1067" s="4">
        <v>32004.53</v>
      </c>
      <c r="K1067" s="4">
        <v>0</v>
      </c>
    </row>
    <row r="1068" spans="1:11">
      <c r="A1068" s="4" t="str">
        <f t="shared" si="708"/>
        <v>20171220</v>
      </c>
      <c r="B1068" s="4" t="str">
        <f t="shared" si="709"/>
        <v>20171220</v>
      </c>
      <c r="C1068" s="4" t="str">
        <f>"基金申购拨出"</f>
        <v>基金申购拨出</v>
      </c>
      <c r="D1068" s="4" t="str">
        <f t="shared" ref="D1068:D1074" si="710">"AA0007"</f>
        <v>AA0007</v>
      </c>
      <c r="E1068" s="4" t="str">
        <f t="shared" ref="E1068:E1074" si="711">"银河水星1号集合"</f>
        <v>银河水星1号集合</v>
      </c>
      <c r="F1068" s="4">
        <v>0</v>
      </c>
      <c r="G1068" s="4">
        <v>0</v>
      </c>
      <c r="H1068" s="4">
        <v>0</v>
      </c>
      <c r="I1068" s="12">
        <v>-50066.3</v>
      </c>
      <c r="J1068" s="4">
        <v>-18061.77</v>
      </c>
      <c r="K1068" s="4">
        <v>0</v>
      </c>
    </row>
    <row r="1069" spans="1:11">
      <c r="A1069" s="4" t="str">
        <f t="shared" si="708"/>
        <v>20171220</v>
      </c>
      <c r="B1069" s="4" t="str">
        <f t="shared" si="709"/>
        <v>20171220</v>
      </c>
      <c r="C1069" s="4" t="str">
        <f>"证券卖出"</f>
        <v>证券卖出</v>
      </c>
      <c r="D1069" s="4" t="str">
        <f>"000768"</f>
        <v>000768</v>
      </c>
      <c r="E1069" s="4" t="str">
        <f>"中航飞机"</f>
        <v>中航飞机</v>
      </c>
      <c r="F1069" s="4">
        <v>18.09</v>
      </c>
      <c r="G1069" s="4">
        <v>1000</v>
      </c>
      <c r="H1069" s="4">
        <v>18090</v>
      </c>
      <c r="I1069" s="12">
        <v>18066.3</v>
      </c>
      <c r="J1069" s="4">
        <v>4.53</v>
      </c>
      <c r="K1069" s="4">
        <v>0</v>
      </c>
    </row>
    <row r="1070" spans="1:11">
      <c r="A1070" s="4" t="str">
        <f t="shared" ref="A1070:A1077" si="712">"20171221"</f>
        <v>20171221</v>
      </c>
      <c r="B1070" s="4" t="str">
        <f t="shared" ref="B1070:B1072" si="713">"20171221"</f>
        <v>20171221</v>
      </c>
      <c r="C1070" s="4" t="str">
        <f>"资管计划实时取现"</f>
        <v>资管计划实时取现</v>
      </c>
      <c r="D1070" s="4" t="str">
        <f>"119931"</f>
        <v>119931</v>
      </c>
      <c r="E1070" s="4" t="str">
        <f>"水星1号"</f>
        <v>水星1号</v>
      </c>
      <c r="F1070" s="4">
        <v>0</v>
      </c>
      <c r="G1070" s="4">
        <v>0</v>
      </c>
      <c r="H1070" s="4">
        <v>4000</v>
      </c>
      <c r="I1070" s="12">
        <v>4000</v>
      </c>
      <c r="J1070" s="4">
        <v>4004.53</v>
      </c>
      <c r="K1070" s="4">
        <v>0</v>
      </c>
    </row>
    <row r="1071" spans="1:11">
      <c r="A1071" s="4" t="str">
        <f t="shared" si="712"/>
        <v>20171221</v>
      </c>
      <c r="B1071" s="4" t="str">
        <f t="shared" si="713"/>
        <v>20171221</v>
      </c>
      <c r="C1071" s="4" t="str">
        <f>"证券转银行"</f>
        <v>证券转银行</v>
      </c>
      <c r="D1071" s="4"/>
      <c r="E1071" s="4"/>
      <c r="F1071" s="4">
        <v>0</v>
      </c>
      <c r="G1071" s="4">
        <v>0</v>
      </c>
      <c r="H1071" s="4">
        <v>0</v>
      </c>
      <c r="I1071" s="12">
        <v>-4000</v>
      </c>
      <c r="J1071" s="4">
        <v>4.53</v>
      </c>
      <c r="K1071" s="4">
        <v>0</v>
      </c>
    </row>
    <row r="1072" spans="1:11">
      <c r="A1072" s="4" t="str">
        <f t="shared" si="712"/>
        <v>20171221</v>
      </c>
      <c r="B1072" s="4" t="str">
        <f t="shared" si="713"/>
        <v>20171221</v>
      </c>
      <c r="C1072" s="4" t="str">
        <f>"资管T0取现拨入"</f>
        <v>资管T0取现拨入</v>
      </c>
      <c r="D1072" s="4" t="str">
        <f t="shared" si="710"/>
        <v>AA0007</v>
      </c>
      <c r="E1072" s="4" t="str">
        <f t="shared" si="711"/>
        <v>银河水星1号集合</v>
      </c>
      <c r="F1072" s="4">
        <v>0</v>
      </c>
      <c r="G1072" s="4">
        <v>4000</v>
      </c>
      <c r="H1072" s="4">
        <v>4000</v>
      </c>
      <c r="I1072" s="12">
        <v>4000</v>
      </c>
      <c r="J1072" s="4">
        <v>4004.53</v>
      </c>
      <c r="K1072" s="4">
        <v>0</v>
      </c>
    </row>
    <row r="1073" spans="1:11">
      <c r="A1073" s="4" t="str">
        <f t="shared" si="712"/>
        <v>20171221</v>
      </c>
      <c r="B1073" s="4" t="str">
        <f>"0"</f>
        <v>0</v>
      </c>
      <c r="C1073" s="4" t="str">
        <f>"基金红利拨入"</f>
        <v>基金红利拨入</v>
      </c>
      <c r="D1073" s="4" t="str">
        <f t="shared" si="710"/>
        <v>AA0007</v>
      </c>
      <c r="E1073" s="4" t="str">
        <f t="shared" si="711"/>
        <v>银河水星1号集合</v>
      </c>
      <c r="F1073" s="4">
        <v>0</v>
      </c>
      <c r="G1073" s="4">
        <v>0</v>
      </c>
      <c r="H1073" s="4">
        <v>163.24</v>
      </c>
      <c r="I1073" s="12">
        <v>163.24</v>
      </c>
      <c r="J1073" s="4">
        <v>4167.77</v>
      </c>
      <c r="K1073" s="4">
        <v>0</v>
      </c>
    </row>
    <row r="1074" spans="1:11">
      <c r="A1074" s="4" t="str">
        <f t="shared" si="712"/>
        <v>20171221</v>
      </c>
      <c r="B1074" s="4" t="str">
        <f t="shared" ref="B1074:B1077" si="714">"20171221"</f>
        <v>20171221</v>
      </c>
      <c r="C1074" s="4" t="str">
        <f>"基金申购拨出"</f>
        <v>基金申购拨出</v>
      </c>
      <c r="D1074" s="4" t="str">
        <f t="shared" si="710"/>
        <v>AA0007</v>
      </c>
      <c r="E1074" s="4" t="str">
        <f t="shared" si="711"/>
        <v>银河水星1号集合</v>
      </c>
      <c r="F1074" s="4">
        <v>0</v>
      </c>
      <c r="G1074" s="4">
        <v>0</v>
      </c>
      <c r="H1074" s="4">
        <v>0</v>
      </c>
      <c r="I1074" s="12">
        <v>-16059.09</v>
      </c>
      <c r="J1074" s="4">
        <v>-11891.32</v>
      </c>
      <c r="K1074" s="4">
        <v>0</v>
      </c>
    </row>
    <row r="1075" spans="1:11">
      <c r="A1075" s="4" t="str">
        <f t="shared" si="712"/>
        <v>20171221</v>
      </c>
      <c r="B1075" s="4" t="str">
        <f t="shared" si="714"/>
        <v>20171221</v>
      </c>
      <c r="C1075" s="4" t="str">
        <f>"资管计划实时取现"</f>
        <v>资管计划实时取现</v>
      </c>
      <c r="D1075" s="4" t="str">
        <f>"119931"</f>
        <v>119931</v>
      </c>
      <c r="E1075" s="4" t="str">
        <f>"水星1号"</f>
        <v>水星1号</v>
      </c>
      <c r="F1075" s="4">
        <v>0</v>
      </c>
      <c r="G1075" s="4">
        <v>0</v>
      </c>
      <c r="H1075" s="4">
        <v>0</v>
      </c>
      <c r="I1075" s="12">
        <v>-4000</v>
      </c>
      <c r="J1075" s="4">
        <v>-15891.32</v>
      </c>
      <c r="K1075" s="4">
        <v>0</v>
      </c>
    </row>
    <row r="1076" spans="1:11">
      <c r="A1076" s="4" t="str">
        <f t="shared" si="712"/>
        <v>20171221</v>
      </c>
      <c r="B1076" s="4" t="str">
        <f t="shared" si="714"/>
        <v>20171221</v>
      </c>
      <c r="C1076" s="4" t="str">
        <f>"证券卖出"</f>
        <v>证券卖出</v>
      </c>
      <c r="D1076" s="4" t="str">
        <f>"600025"</f>
        <v>600025</v>
      </c>
      <c r="E1076" s="4" t="str">
        <f>"华能水电"</f>
        <v>华能水电</v>
      </c>
      <c r="F1076" s="4">
        <v>4.35</v>
      </c>
      <c r="G1076" s="4">
        <v>1000</v>
      </c>
      <c r="H1076" s="4">
        <v>4350</v>
      </c>
      <c r="I1076" s="12">
        <v>4340.56</v>
      </c>
      <c r="J1076" s="4">
        <v>-11550.76</v>
      </c>
      <c r="K1076" s="4">
        <v>0</v>
      </c>
    </row>
    <row r="1077" spans="1:11">
      <c r="A1077" s="4" t="str">
        <f t="shared" si="712"/>
        <v>20171221</v>
      </c>
      <c r="B1077" s="4" t="str">
        <f t="shared" si="714"/>
        <v>20171221</v>
      </c>
      <c r="C1077" s="4" t="str">
        <f>"证券卖出"</f>
        <v>证券卖出</v>
      </c>
      <c r="D1077" s="4" t="str">
        <f>"150153"</f>
        <v>150153</v>
      </c>
      <c r="E1077" s="4" t="str">
        <f>"创业板B"</f>
        <v>创业板B</v>
      </c>
      <c r="F1077" s="4">
        <v>0.586</v>
      </c>
      <c r="G1077" s="4">
        <v>20000</v>
      </c>
      <c r="H1077" s="4">
        <v>11720</v>
      </c>
      <c r="I1077" s="12">
        <v>11715</v>
      </c>
      <c r="J1077" s="4">
        <v>164.24</v>
      </c>
      <c r="K1077" s="4">
        <v>20000</v>
      </c>
    </row>
    <row r="1078" spans="1:11">
      <c r="A1078" s="4" t="str">
        <f>"20171222"</f>
        <v>20171222</v>
      </c>
      <c r="B1078" s="4" t="str">
        <f>"0"</f>
        <v>0</v>
      </c>
      <c r="C1078" s="4" t="str">
        <f>"股息红利差异扣税"</f>
        <v>股息红利差异扣税</v>
      </c>
      <c r="D1078" s="4" t="str">
        <f>"000601"</f>
        <v>000601</v>
      </c>
      <c r="E1078" s="4" t="str">
        <f>"韶能股份"</f>
        <v>韶能股份</v>
      </c>
      <c r="F1078" s="4">
        <v>0</v>
      </c>
      <c r="G1078" s="4">
        <v>0</v>
      </c>
      <c r="H1078" s="4">
        <v>0</v>
      </c>
      <c r="I1078" s="12">
        <v>-60</v>
      </c>
      <c r="J1078" s="4">
        <v>104.24</v>
      </c>
      <c r="K1078" s="4">
        <v>0</v>
      </c>
    </row>
    <row r="1079" spans="1:11">
      <c r="A1079" s="4" t="str">
        <f>"20171225"</f>
        <v>20171225</v>
      </c>
      <c r="B1079" s="4" t="str">
        <f>"20171225"</f>
        <v>20171225</v>
      </c>
      <c r="C1079" s="4" t="str">
        <f>"基金赎回拨入"</f>
        <v>基金赎回拨入</v>
      </c>
      <c r="D1079" s="4" t="str">
        <f>"AA0007"</f>
        <v>AA0007</v>
      </c>
      <c r="E1079" s="4" t="str">
        <f>"银河水星1号集合"</f>
        <v>银河水星1号集合</v>
      </c>
      <c r="F1079" s="4">
        <v>0</v>
      </c>
      <c r="G1079" s="4">
        <v>16992</v>
      </c>
      <c r="H1079" s="4">
        <v>0</v>
      </c>
      <c r="I1079" s="12">
        <v>16992.06</v>
      </c>
      <c r="J1079" s="4">
        <v>17096.3</v>
      </c>
      <c r="K1079" s="4">
        <v>0</v>
      </c>
    </row>
    <row r="1080" spans="1:11">
      <c r="A1080" s="4" t="str">
        <f>"20171225"</f>
        <v>20171225</v>
      </c>
      <c r="B1080" s="4" t="str">
        <f>"20171225"</f>
        <v>20171225</v>
      </c>
      <c r="C1080" s="4" t="str">
        <f>"证券买入"</f>
        <v>证券买入</v>
      </c>
      <c r="D1080" s="4" t="str">
        <f>"000768"</f>
        <v>000768</v>
      </c>
      <c r="E1080" s="4" t="str">
        <f>"中航飞机"</f>
        <v>中航飞机</v>
      </c>
      <c r="F1080" s="4">
        <v>17.09</v>
      </c>
      <c r="G1080" s="4">
        <v>1000</v>
      </c>
      <c r="H1080" s="4">
        <v>17090</v>
      </c>
      <c r="I1080" s="12">
        <v>-17095.3</v>
      </c>
      <c r="J1080" s="4">
        <v>1</v>
      </c>
      <c r="K1080" s="4">
        <v>1000</v>
      </c>
    </row>
    <row r="1081" spans="1:11">
      <c r="A1081" s="4" t="str">
        <f>"20171226"</f>
        <v>20171226</v>
      </c>
      <c r="B1081" s="4" t="str">
        <f>"20171205"</f>
        <v>20171205</v>
      </c>
      <c r="C1081" s="4" t="str">
        <f>"新股入帐"</f>
        <v>新股入帐</v>
      </c>
      <c r="D1081" s="4" t="str">
        <f>"128024"</f>
        <v>128024</v>
      </c>
      <c r="E1081" s="4" t="str">
        <f>"新代码"</f>
        <v>新代码</v>
      </c>
      <c r="F1081" s="4">
        <v>0</v>
      </c>
      <c r="G1081" s="4">
        <v>10</v>
      </c>
      <c r="H1081" s="4">
        <v>0</v>
      </c>
      <c r="I1081" s="12">
        <v>0</v>
      </c>
      <c r="J1081" s="4">
        <v>1</v>
      </c>
      <c r="K1081" s="4">
        <v>10</v>
      </c>
    </row>
    <row r="1082" spans="1:11">
      <c r="A1082" s="4" t="str">
        <f>"20171227"</f>
        <v>20171227</v>
      </c>
      <c r="B1082" s="4" t="str">
        <f>"20171227"</f>
        <v>20171227</v>
      </c>
      <c r="C1082" s="4" t="str">
        <f>"删除过期证券"</f>
        <v>删除过期证券</v>
      </c>
      <c r="D1082" s="4" t="str">
        <f>"072284"</f>
        <v>072284</v>
      </c>
      <c r="E1082" s="4" t="str">
        <f>"亚太发债"</f>
        <v>亚太发债</v>
      </c>
      <c r="F1082" s="4">
        <v>0</v>
      </c>
      <c r="G1082" s="4">
        <v>0</v>
      </c>
      <c r="H1082" s="4">
        <v>0</v>
      </c>
      <c r="I1082" s="12">
        <v>0</v>
      </c>
      <c r="J1082" s="4">
        <v>1</v>
      </c>
      <c r="K1082" s="4">
        <v>0</v>
      </c>
    </row>
    <row r="1083" spans="1:11">
      <c r="A1083" s="4" t="str">
        <f t="shared" ref="A1083:A1085" si="715">"20171228"</f>
        <v>20171228</v>
      </c>
      <c r="B1083" s="4" t="str">
        <f t="shared" ref="B1083:B1085" si="716">"20171228"</f>
        <v>20171228</v>
      </c>
      <c r="C1083" s="4" t="str">
        <f>"基金赎回拨入"</f>
        <v>基金赎回拨入</v>
      </c>
      <c r="D1083" s="4" t="str">
        <f t="shared" ref="D1083:D1088" si="717">"AA0007"</f>
        <v>AA0007</v>
      </c>
      <c r="E1083" s="4" t="str">
        <f t="shared" ref="E1083:E1088" si="718">"银河水星1号集合"</f>
        <v>银河水星1号集合</v>
      </c>
      <c r="F1083" s="4">
        <v>0</v>
      </c>
      <c r="G1083" s="4">
        <v>75137</v>
      </c>
      <c r="H1083" s="4">
        <v>0</v>
      </c>
      <c r="I1083" s="12">
        <v>75137.09</v>
      </c>
      <c r="J1083" s="4">
        <v>75138.09</v>
      </c>
      <c r="K1083" s="4">
        <v>0</v>
      </c>
    </row>
    <row r="1084" spans="1:11">
      <c r="A1084" s="4" t="str">
        <f t="shared" si="715"/>
        <v>20171228</v>
      </c>
      <c r="B1084" s="4" t="str">
        <f t="shared" si="716"/>
        <v>20171228</v>
      </c>
      <c r="C1084" s="4" t="str">
        <f>"证券买入"</f>
        <v>证券买入</v>
      </c>
      <c r="D1084" s="4" t="str">
        <f>"150182"</f>
        <v>150182</v>
      </c>
      <c r="E1084" s="4" t="str">
        <f>"军工B"</f>
        <v>军工B</v>
      </c>
      <c r="F1084" s="4">
        <v>0.769</v>
      </c>
      <c r="G1084" s="4">
        <v>40000</v>
      </c>
      <c r="H1084" s="4">
        <v>30760</v>
      </c>
      <c r="I1084" s="12">
        <v>-30769.54</v>
      </c>
      <c r="J1084" s="4">
        <v>44368.55</v>
      </c>
      <c r="K1084" s="4">
        <v>40000</v>
      </c>
    </row>
    <row r="1085" spans="1:11">
      <c r="A1085" s="4" t="str">
        <f t="shared" si="715"/>
        <v>20171228</v>
      </c>
      <c r="B1085" s="4" t="str">
        <f t="shared" si="716"/>
        <v>20171228</v>
      </c>
      <c r="C1085" s="4" t="str">
        <f>"融券回购"</f>
        <v>融券回购</v>
      </c>
      <c r="D1085" s="4" t="str">
        <f>"131810"</f>
        <v>131810</v>
      </c>
      <c r="E1085" s="4" t="str">
        <f>"Ｒ-001"</f>
        <v>Ｒ-001</v>
      </c>
      <c r="F1085" s="4">
        <v>13.383</v>
      </c>
      <c r="G1085" s="4">
        <v>440</v>
      </c>
      <c r="H1085" s="4">
        <v>44000</v>
      </c>
      <c r="I1085" s="12">
        <v>-44000.44</v>
      </c>
      <c r="J1085" s="4">
        <v>368.11</v>
      </c>
      <c r="K1085" s="4">
        <v>0</v>
      </c>
    </row>
    <row r="1086" spans="1:11">
      <c r="A1086" s="4" t="str">
        <f>"20171229"</f>
        <v>20171229</v>
      </c>
      <c r="B1086" s="4" t="str">
        <f>"20171229"</f>
        <v>20171229</v>
      </c>
      <c r="C1086" s="4" t="str">
        <f>"基金申购拨出"</f>
        <v>基金申购拨出</v>
      </c>
      <c r="D1086" s="4" t="str">
        <f t="shared" si="717"/>
        <v>AA0007</v>
      </c>
      <c r="E1086" s="4" t="str">
        <f t="shared" si="718"/>
        <v>银河水星1号集合</v>
      </c>
      <c r="F1086" s="4">
        <v>0</v>
      </c>
      <c r="G1086" s="4">
        <v>0</v>
      </c>
      <c r="H1086" s="4">
        <v>0</v>
      </c>
      <c r="I1086" s="12">
        <v>-44432.64</v>
      </c>
      <c r="J1086" s="4">
        <v>-44064.53</v>
      </c>
      <c r="K1086" s="4">
        <v>0</v>
      </c>
    </row>
    <row r="1087" spans="1:11">
      <c r="A1087" s="4" t="str">
        <f>"20171229"</f>
        <v>20171229</v>
      </c>
      <c r="B1087" s="4" t="str">
        <f>"20171228"</f>
        <v>20171228</v>
      </c>
      <c r="C1087" s="4" t="str">
        <f>"融券购回"</f>
        <v>融券购回</v>
      </c>
      <c r="D1087" s="4" t="str">
        <f>"131810"</f>
        <v>131810</v>
      </c>
      <c r="E1087" s="4" t="str">
        <f>"Ｒ-001"</f>
        <v>Ｒ-001</v>
      </c>
      <c r="F1087" s="4">
        <v>13.383</v>
      </c>
      <c r="G1087" s="4">
        <v>440</v>
      </c>
      <c r="H1087" s="4">
        <v>44064.53</v>
      </c>
      <c r="I1087" s="12">
        <v>44064.53</v>
      </c>
      <c r="J1087" s="4">
        <v>0</v>
      </c>
      <c r="K1087" s="4">
        <v>0</v>
      </c>
    </row>
    <row r="1088" spans="1:11">
      <c r="A1088" s="4" t="str">
        <f>"20180102"</f>
        <v>20180102</v>
      </c>
      <c r="B1088" s="4" t="str">
        <f>"20180102"</f>
        <v>20180102</v>
      </c>
      <c r="C1088" s="4" t="str">
        <f>"基金申购拨出"</f>
        <v>基金申购拨出</v>
      </c>
      <c r="D1088" s="4" t="str">
        <f t="shared" si="717"/>
        <v>AA0007</v>
      </c>
      <c r="E1088" s="4" t="str">
        <f t="shared" si="718"/>
        <v>银河水星1号集合</v>
      </c>
      <c r="F1088" s="4">
        <v>0</v>
      </c>
      <c r="G1088" s="4">
        <v>0</v>
      </c>
      <c r="H1088" s="4">
        <v>0</v>
      </c>
      <c r="I1088" s="12">
        <v>-31269.3</v>
      </c>
      <c r="J1088" s="4">
        <v>-31269.3</v>
      </c>
      <c r="K1088" s="4">
        <v>0</v>
      </c>
    </row>
    <row r="1089" spans="1:11">
      <c r="A1089" s="4" t="str">
        <f>"20180102"</f>
        <v>20180102</v>
      </c>
      <c r="B1089" s="4" t="str">
        <f>"20180102"</f>
        <v>20180102</v>
      </c>
      <c r="C1089" s="4" t="str">
        <f>"证券卖出"</f>
        <v>证券卖出</v>
      </c>
      <c r="D1089" s="4" t="str">
        <f>"150182"</f>
        <v>150182</v>
      </c>
      <c r="E1089" s="4" t="str">
        <f>"军工B"</f>
        <v>军工B</v>
      </c>
      <c r="F1089" s="4">
        <v>0.782</v>
      </c>
      <c r="G1089" s="4">
        <v>40000</v>
      </c>
      <c r="H1089" s="4">
        <v>31280</v>
      </c>
      <c r="I1089" s="12">
        <v>31270.3</v>
      </c>
      <c r="J1089" s="4">
        <v>1</v>
      </c>
      <c r="K1089" s="4">
        <v>0</v>
      </c>
    </row>
    <row r="1090" spans="1:11">
      <c r="A1090" s="4" t="str">
        <f>"20180103"</f>
        <v>20180103</v>
      </c>
      <c r="B1090" s="4" t="str">
        <f>"20180103"</f>
        <v>20180103</v>
      </c>
      <c r="C1090" s="4" t="str">
        <f>"基金赎回拨入"</f>
        <v>基金赎回拨入</v>
      </c>
      <c r="D1090" s="4" t="str">
        <f t="shared" ref="D1090:D1095" si="719">"AA0007"</f>
        <v>AA0007</v>
      </c>
      <c r="E1090" s="4" t="str">
        <f t="shared" ref="E1090:E1095" si="720">"银河水星1号集合"</f>
        <v>银河水星1号集合</v>
      </c>
      <c r="F1090" s="4">
        <v>0</v>
      </c>
      <c r="G1090" s="4">
        <v>17155</v>
      </c>
      <c r="H1090" s="4">
        <v>0</v>
      </c>
      <c r="I1090" s="12">
        <v>17155.32</v>
      </c>
      <c r="J1090" s="4">
        <v>17156.32</v>
      </c>
      <c r="K1090" s="4">
        <v>0</v>
      </c>
    </row>
    <row r="1091" spans="1:11">
      <c r="A1091" s="4" t="str">
        <f>"20180103"</f>
        <v>20180103</v>
      </c>
      <c r="B1091" s="4" t="str">
        <f>"20180103"</f>
        <v>20180103</v>
      </c>
      <c r="C1091" s="4" t="str">
        <f>"证券买入"</f>
        <v>证券买入</v>
      </c>
      <c r="D1091" s="4" t="str">
        <f>"000768"</f>
        <v>000768</v>
      </c>
      <c r="E1091" s="4" t="str">
        <f>"中航飞机"</f>
        <v>中航飞机</v>
      </c>
      <c r="F1091" s="4">
        <v>17.15</v>
      </c>
      <c r="G1091" s="4">
        <v>1000</v>
      </c>
      <c r="H1091" s="4">
        <v>17150</v>
      </c>
      <c r="I1091" s="12">
        <v>-17155.32</v>
      </c>
      <c r="J1091" s="4">
        <v>1</v>
      </c>
      <c r="K1091" s="4">
        <v>2000</v>
      </c>
    </row>
    <row r="1092" spans="1:11">
      <c r="A1092" s="4" t="str">
        <f t="shared" ref="A1092:A1094" si="721">"20180108"</f>
        <v>20180108</v>
      </c>
      <c r="B1092" s="4" t="str">
        <f>"20180108"</f>
        <v>20180108</v>
      </c>
      <c r="C1092" s="4" t="str">
        <f>"基金申购拨出"</f>
        <v>基金申购拨出</v>
      </c>
      <c r="D1092" s="4" t="str">
        <f t="shared" si="719"/>
        <v>AA0007</v>
      </c>
      <c r="E1092" s="4" t="str">
        <f t="shared" si="720"/>
        <v>银河水星1号集合</v>
      </c>
      <c r="F1092" s="4">
        <v>0</v>
      </c>
      <c r="G1092" s="4">
        <v>0</v>
      </c>
      <c r="H1092" s="4">
        <v>0</v>
      </c>
      <c r="I1092" s="12">
        <v>-5707.76</v>
      </c>
      <c r="J1092" s="4">
        <v>-5706.76</v>
      </c>
      <c r="K1092" s="4">
        <v>0</v>
      </c>
    </row>
    <row r="1093" spans="1:11">
      <c r="A1093" s="4" t="str">
        <f t="shared" si="721"/>
        <v>20180108</v>
      </c>
      <c r="B1093" s="4" t="str">
        <f>"20180108"</f>
        <v>20180108</v>
      </c>
      <c r="C1093" s="4" t="str">
        <f>"证券卖出"</f>
        <v>证券卖出</v>
      </c>
      <c r="D1093" s="4" t="str">
        <f>"000768"</f>
        <v>000768</v>
      </c>
      <c r="E1093" s="4" t="str">
        <f>"中航飞机"</f>
        <v>中航飞机</v>
      </c>
      <c r="F1093" s="4">
        <v>16.98</v>
      </c>
      <c r="G1093" s="4">
        <v>1000</v>
      </c>
      <c r="H1093" s="4">
        <v>16980</v>
      </c>
      <c r="I1093" s="12">
        <v>16957.76</v>
      </c>
      <c r="J1093" s="4">
        <v>11251</v>
      </c>
      <c r="K1093" s="4">
        <v>1000</v>
      </c>
    </row>
    <row r="1094" spans="1:11">
      <c r="A1094" s="4" t="str">
        <f t="shared" si="721"/>
        <v>20180108</v>
      </c>
      <c r="B1094" s="4" t="str">
        <f t="shared" ref="B1094:B1099" si="722">"20180104"</f>
        <v>20180104</v>
      </c>
      <c r="C1094" s="4" t="str">
        <f>"配售缴款"</f>
        <v>配售缴款</v>
      </c>
      <c r="D1094" s="4" t="str">
        <f t="shared" ref="D1094:D1099" si="723">"002925"</f>
        <v>002925</v>
      </c>
      <c r="E1094" s="4" t="str">
        <f t="shared" ref="E1094:E1099" si="724">"盈趣科技"</f>
        <v>盈趣科技</v>
      </c>
      <c r="F1094" s="4">
        <v>22.5</v>
      </c>
      <c r="G1094" s="4">
        <v>500</v>
      </c>
      <c r="H1094" s="4">
        <v>11250</v>
      </c>
      <c r="I1094" s="12">
        <v>-11250</v>
      </c>
      <c r="J1094" s="4">
        <v>1</v>
      </c>
      <c r="K1094" s="4">
        <v>0</v>
      </c>
    </row>
    <row r="1095" spans="1:11">
      <c r="A1095" s="4" t="str">
        <f t="shared" ref="A1095:A1097" si="725">"20180109"</f>
        <v>20180109</v>
      </c>
      <c r="B1095" s="4" t="str">
        <f>"20180109"</f>
        <v>20180109</v>
      </c>
      <c r="C1095" s="4" t="str">
        <f>"基金赎回拨入"</f>
        <v>基金赎回拨入</v>
      </c>
      <c r="D1095" s="4" t="str">
        <f t="shared" si="719"/>
        <v>AA0007</v>
      </c>
      <c r="E1095" s="4" t="str">
        <f t="shared" si="720"/>
        <v>银河水星1号集合</v>
      </c>
      <c r="F1095" s="4">
        <v>0</v>
      </c>
      <c r="G1095" s="4">
        <v>31889</v>
      </c>
      <c r="H1095" s="4">
        <v>0</v>
      </c>
      <c r="I1095" s="12">
        <v>31889.88</v>
      </c>
      <c r="J1095" s="4">
        <v>31890.88</v>
      </c>
      <c r="K1095" s="4">
        <v>0</v>
      </c>
    </row>
    <row r="1096" spans="1:11">
      <c r="A1096" s="4" t="str">
        <f t="shared" si="725"/>
        <v>20180109</v>
      </c>
      <c r="B1096" s="4" t="str">
        <f t="shared" si="722"/>
        <v>20180104</v>
      </c>
      <c r="C1096" s="4" t="str">
        <f>"配售股份"</f>
        <v>配售股份</v>
      </c>
      <c r="D1096" s="4" t="str">
        <f t="shared" si="723"/>
        <v>002925</v>
      </c>
      <c r="E1096" s="4" t="str">
        <f t="shared" si="724"/>
        <v>盈趣科技</v>
      </c>
      <c r="F1096" s="4">
        <v>22.5</v>
      </c>
      <c r="G1096" s="4">
        <v>500</v>
      </c>
      <c r="H1096" s="4">
        <v>11250</v>
      </c>
      <c r="I1096" s="12">
        <v>0</v>
      </c>
      <c r="J1096" s="4">
        <v>31890.88</v>
      </c>
      <c r="K1096" s="4">
        <v>500</v>
      </c>
    </row>
    <row r="1097" spans="1:11">
      <c r="A1097" s="4" t="str">
        <f t="shared" si="725"/>
        <v>20180109</v>
      </c>
      <c r="B1097" s="4" t="str">
        <f>"20180109"</f>
        <v>20180109</v>
      </c>
      <c r="C1097" s="4" t="str">
        <f>"证券买入"</f>
        <v>证券买入</v>
      </c>
      <c r="D1097" s="4" t="str">
        <f>"150182"</f>
        <v>150182</v>
      </c>
      <c r="E1097" s="4" t="str">
        <f>"军工B"</f>
        <v>军工B</v>
      </c>
      <c r="F1097" s="4">
        <v>0.797</v>
      </c>
      <c r="G1097" s="4">
        <v>40000</v>
      </c>
      <c r="H1097" s="4">
        <v>31880</v>
      </c>
      <c r="I1097" s="12">
        <v>-31889.88</v>
      </c>
      <c r="J1097" s="4">
        <v>1</v>
      </c>
      <c r="K1097" s="4">
        <v>40000</v>
      </c>
    </row>
    <row r="1098" spans="1:11">
      <c r="A1098" s="4" t="str">
        <f t="shared" ref="A1098:A1101" si="726">"20180110"</f>
        <v>20180110</v>
      </c>
      <c r="B1098" s="4" t="str">
        <f t="shared" ref="B1098:B1101" si="727">"20180110"</f>
        <v>20180110</v>
      </c>
      <c r="C1098" s="4" t="str">
        <f>"基金申购拨出"</f>
        <v>基金申购拨出</v>
      </c>
      <c r="D1098" s="4" t="str">
        <f>"AA0007"</f>
        <v>AA0007</v>
      </c>
      <c r="E1098" s="4" t="str">
        <f>"银河水星1号集合"</f>
        <v>银河水星1号集合</v>
      </c>
      <c r="F1098" s="4">
        <v>0</v>
      </c>
      <c r="G1098" s="4">
        <v>0</v>
      </c>
      <c r="H1098" s="4">
        <v>0</v>
      </c>
      <c r="I1098" s="12">
        <v>-14255.1</v>
      </c>
      <c r="J1098" s="4">
        <v>-14254.1</v>
      </c>
      <c r="K1098" s="4">
        <v>0</v>
      </c>
    </row>
    <row r="1099" spans="1:11">
      <c r="A1099" s="4" t="str">
        <f t="shared" si="726"/>
        <v>20180110</v>
      </c>
      <c r="B1099" s="4" t="str">
        <f t="shared" si="722"/>
        <v>20180104</v>
      </c>
      <c r="C1099" s="4" t="str">
        <f>"新股入帐"</f>
        <v>新股入帐</v>
      </c>
      <c r="D1099" s="4" t="str">
        <f t="shared" si="723"/>
        <v>002925</v>
      </c>
      <c r="E1099" s="4" t="str">
        <f t="shared" si="724"/>
        <v>盈趣科技</v>
      </c>
      <c r="F1099" s="4">
        <v>22.5</v>
      </c>
      <c r="G1099" s="4">
        <v>500</v>
      </c>
      <c r="H1099" s="4">
        <v>0</v>
      </c>
      <c r="I1099" s="12">
        <v>0</v>
      </c>
      <c r="J1099" s="4">
        <v>-14254.1</v>
      </c>
      <c r="K1099" s="4">
        <v>500</v>
      </c>
    </row>
    <row r="1100" spans="1:11">
      <c r="A1100" s="4" t="str">
        <f t="shared" si="726"/>
        <v>20180110</v>
      </c>
      <c r="B1100" s="4" t="str">
        <f t="shared" si="727"/>
        <v>20180110</v>
      </c>
      <c r="C1100" s="4" t="str">
        <f>"证券卖出"</f>
        <v>证券卖出</v>
      </c>
      <c r="D1100" s="4" t="str">
        <f>"150182"</f>
        <v>150182</v>
      </c>
      <c r="E1100" s="4" t="str">
        <f>"军工B"</f>
        <v>军工B</v>
      </c>
      <c r="F1100" s="4">
        <v>0.779</v>
      </c>
      <c r="G1100" s="4">
        <v>40000</v>
      </c>
      <c r="H1100" s="4">
        <v>31160</v>
      </c>
      <c r="I1100" s="12">
        <v>31150.34</v>
      </c>
      <c r="J1100" s="4">
        <v>16896.24</v>
      </c>
      <c r="K1100" s="4">
        <v>0</v>
      </c>
    </row>
    <row r="1101" spans="1:11">
      <c r="A1101" s="4" t="str">
        <f t="shared" si="726"/>
        <v>20180110</v>
      </c>
      <c r="B1101" s="4" t="str">
        <f t="shared" si="727"/>
        <v>20180110</v>
      </c>
      <c r="C1101" s="4" t="str">
        <f>"证券买入"</f>
        <v>证券买入</v>
      </c>
      <c r="D1101" s="4" t="str">
        <f>"000768"</f>
        <v>000768</v>
      </c>
      <c r="E1101" s="4" t="str">
        <f>"中航飞机"</f>
        <v>中航飞机</v>
      </c>
      <c r="F1101" s="4">
        <v>16.89</v>
      </c>
      <c r="G1101" s="4">
        <v>1000</v>
      </c>
      <c r="H1101" s="4">
        <v>16890</v>
      </c>
      <c r="I1101" s="12">
        <v>-16895.24</v>
      </c>
      <c r="J1101" s="4">
        <v>1</v>
      </c>
      <c r="K1101" s="4">
        <v>2000</v>
      </c>
    </row>
    <row r="1102" spans="1:11">
      <c r="A1102" s="4" t="str">
        <f t="shared" ref="A1102:A1104" si="728">"20180111"</f>
        <v>20180111</v>
      </c>
      <c r="B1102" s="4" t="str">
        <f t="shared" ref="B1102:B1104" si="729">"20180111"</f>
        <v>20180111</v>
      </c>
      <c r="C1102" s="4" t="str">
        <f>"基金申购拨出"</f>
        <v>基金申购拨出</v>
      </c>
      <c r="D1102" s="4" t="str">
        <f>"AA0007"</f>
        <v>AA0007</v>
      </c>
      <c r="E1102" s="4" t="str">
        <f>"银河水星1号集合"</f>
        <v>银河水星1号集合</v>
      </c>
      <c r="F1102" s="4">
        <v>0</v>
      </c>
      <c r="G1102" s="4">
        <v>0</v>
      </c>
      <c r="H1102" s="4">
        <v>0</v>
      </c>
      <c r="I1102" s="12">
        <v>-5062.72</v>
      </c>
      <c r="J1102" s="4">
        <v>-5061.72</v>
      </c>
      <c r="K1102" s="4">
        <v>0</v>
      </c>
    </row>
    <row r="1103" spans="1:11">
      <c r="A1103" s="4" t="str">
        <f t="shared" si="728"/>
        <v>20180111</v>
      </c>
      <c r="B1103" s="4" t="str">
        <f t="shared" si="729"/>
        <v>20180111</v>
      </c>
      <c r="C1103" s="4" t="str">
        <f>"证券卖出"</f>
        <v>证券卖出</v>
      </c>
      <c r="D1103" s="4" t="str">
        <f>"000768"</f>
        <v>000768</v>
      </c>
      <c r="E1103" s="4" t="str">
        <f>"中航飞机"</f>
        <v>中航飞机</v>
      </c>
      <c r="F1103" s="4">
        <v>17.01</v>
      </c>
      <c r="G1103" s="4">
        <v>1000</v>
      </c>
      <c r="H1103" s="4">
        <v>17010</v>
      </c>
      <c r="I1103" s="12">
        <v>16987.72</v>
      </c>
      <c r="J1103" s="4">
        <v>11926</v>
      </c>
      <c r="K1103" s="4">
        <v>1000</v>
      </c>
    </row>
    <row r="1104" spans="1:11">
      <c r="A1104" s="4" t="str">
        <f t="shared" si="728"/>
        <v>20180111</v>
      </c>
      <c r="B1104" s="4" t="str">
        <f t="shared" si="729"/>
        <v>20180111</v>
      </c>
      <c r="C1104" s="4" t="str">
        <f>"证券买入"</f>
        <v>证券买入</v>
      </c>
      <c r="D1104" s="4" t="str">
        <f>"150153"</f>
        <v>150153</v>
      </c>
      <c r="E1104" s="4" t="str">
        <f>"创业板B"</f>
        <v>创业板B</v>
      </c>
      <c r="F1104" s="4">
        <v>0.596</v>
      </c>
      <c r="G1104" s="4">
        <v>20000</v>
      </c>
      <c r="H1104" s="4">
        <v>11920</v>
      </c>
      <c r="I1104" s="12">
        <v>-11925</v>
      </c>
      <c r="J1104" s="4">
        <v>1</v>
      </c>
      <c r="K1104" s="4">
        <v>40000</v>
      </c>
    </row>
    <row r="1105" spans="1:11">
      <c r="A1105" s="4" t="str">
        <f>"20180115"</f>
        <v>20180115</v>
      </c>
      <c r="B1105" s="4" t="str">
        <f>"20180115"</f>
        <v>20180115</v>
      </c>
      <c r="C1105" s="4" t="str">
        <f>"基金申购拨出"</f>
        <v>基金申购拨出</v>
      </c>
      <c r="D1105" s="4" t="str">
        <f t="shared" ref="D1105:D1110" si="730">"AA0007"</f>
        <v>AA0007</v>
      </c>
      <c r="E1105" s="4" t="str">
        <f t="shared" ref="E1105:E1110" si="731">"银河水星1号集合"</f>
        <v>银河水星1号集合</v>
      </c>
      <c r="F1105" s="4">
        <v>0</v>
      </c>
      <c r="G1105" s="4">
        <v>0</v>
      </c>
      <c r="H1105" s="4">
        <v>0</v>
      </c>
      <c r="I1105" s="12">
        <v>-1118.38</v>
      </c>
      <c r="J1105" s="4">
        <v>-1117.38</v>
      </c>
      <c r="K1105" s="4">
        <v>0</v>
      </c>
    </row>
    <row r="1106" spans="1:11">
      <c r="A1106" s="4" t="str">
        <f>"20180115"</f>
        <v>20180115</v>
      </c>
      <c r="B1106" s="4" t="str">
        <f>"20180115"</f>
        <v>20180115</v>
      </c>
      <c r="C1106" s="4" t="str">
        <f>"证券卖出"</f>
        <v>证券卖出</v>
      </c>
      <c r="D1106" s="4" t="str">
        <f>"128024"</f>
        <v>128024</v>
      </c>
      <c r="E1106" s="4" t="str">
        <f>"宁行转债"</f>
        <v>宁行转债</v>
      </c>
      <c r="F1106" s="4">
        <v>111.95</v>
      </c>
      <c r="G1106" s="4">
        <v>10</v>
      </c>
      <c r="H1106" s="4">
        <v>1119.5</v>
      </c>
      <c r="I1106" s="12">
        <v>1118.38</v>
      </c>
      <c r="J1106" s="4">
        <v>1</v>
      </c>
      <c r="K1106" s="4">
        <v>0</v>
      </c>
    </row>
    <row r="1107" spans="1:11">
      <c r="A1107" s="4" t="str">
        <f t="shared" ref="A1107:A1109" si="732">"20180116"</f>
        <v>20180116</v>
      </c>
      <c r="B1107" s="4" t="str">
        <f t="shared" ref="B1107:B1109" si="733">"20180116"</f>
        <v>20180116</v>
      </c>
      <c r="C1107" s="4" t="str">
        <f>"删除过期证券"</f>
        <v>删除过期证券</v>
      </c>
      <c r="D1107" s="4" t="str">
        <f>"072142"</f>
        <v>072142</v>
      </c>
      <c r="E1107" s="4" t="str">
        <f>"宁行发债"</f>
        <v>宁行发债</v>
      </c>
      <c r="F1107" s="4">
        <v>0</v>
      </c>
      <c r="G1107" s="4">
        <v>0</v>
      </c>
      <c r="H1107" s="4">
        <v>0</v>
      </c>
      <c r="I1107" s="12">
        <v>0</v>
      </c>
      <c r="J1107" s="4">
        <v>1</v>
      </c>
      <c r="K1107" s="4">
        <v>0</v>
      </c>
    </row>
    <row r="1108" spans="1:11">
      <c r="A1108" s="4" t="str">
        <f t="shared" si="732"/>
        <v>20180116</v>
      </c>
      <c r="B1108" s="4" t="str">
        <f t="shared" si="733"/>
        <v>20180116</v>
      </c>
      <c r="C1108" s="4" t="str">
        <f>"基金赎回拨入"</f>
        <v>基金赎回拨入</v>
      </c>
      <c r="D1108" s="4" t="str">
        <f t="shared" si="730"/>
        <v>AA0007</v>
      </c>
      <c r="E1108" s="4" t="str">
        <f t="shared" si="731"/>
        <v>银河水星1号集合</v>
      </c>
      <c r="F1108" s="4">
        <v>0</v>
      </c>
      <c r="G1108" s="4">
        <v>15345</v>
      </c>
      <c r="H1108" s="4">
        <v>0</v>
      </c>
      <c r="I1108" s="12">
        <v>15345</v>
      </c>
      <c r="J1108" s="4">
        <v>15346</v>
      </c>
      <c r="K1108" s="4">
        <v>0</v>
      </c>
    </row>
    <row r="1109" spans="1:11">
      <c r="A1109" s="4" t="str">
        <f t="shared" si="732"/>
        <v>20180116</v>
      </c>
      <c r="B1109" s="4" t="str">
        <f t="shared" si="733"/>
        <v>20180116</v>
      </c>
      <c r="C1109" s="4" t="str">
        <f t="shared" ref="C1109:C1113" si="734">"证券买入"</f>
        <v>证券买入</v>
      </c>
      <c r="D1109" s="4" t="str">
        <f t="shared" ref="D1109:D1113" si="735">"000768"</f>
        <v>000768</v>
      </c>
      <c r="E1109" s="4" t="str">
        <f t="shared" ref="E1109:E1113" si="736">"中航飞机"</f>
        <v>中航飞机</v>
      </c>
      <c r="F1109" s="4">
        <v>15.34</v>
      </c>
      <c r="G1109" s="4">
        <v>1000</v>
      </c>
      <c r="H1109" s="4">
        <v>15340</v>
      </c>
      <c r="I1109" s="12">
        <v>-15345</v>
      </c>
      <c r="J1109" s="4">
        <v>1</v>
      </c>
      <c r="K1109" s="4">
        <v>2000</v>
      </c>
    </row>
    <row r="1110" spans="1:11">
      <c r="A1110" s="4" t="str">
        <f t="shared" ref="A1110:A1113" si="737">"20180117"</f>
        <v>20180117</v>
      </c>
      <c r="B1110" s="4" t="str">
        <f t="shared" ref="B1110:B1113" si="738">"20180117"</f>
        <v>20180117</v>
      </c>
      <c r="C1110" s="4" t="str">
        <f>"基金赎回拨入"</f>
        <v>基金赎回拨入</v>
      </c>
      <c r="D1110" s="4" t="str">
        <f t="shared" si="730"/>
        <v>AA0007</v>
      </c>
      <c r="E1110" s="4" t="str">
        <f t="shared" si="731"/>
        <v>银河水星1号集合</v>
      </c>
      <c r="F1110" s="4">
        <v>0</v>
      </c>
      <c r="G1110" s="4">
        <v>15330</v>
      </c>
      <c r="H1110" s="4">
        <v>0</v>
      </c>
      <c r="I1110" s="12">
        <v>15330.56</v>
      </c>
      <c r="J1110" s="4">
        <v>15331.56</v>
      </c>
      <c r="K1110" s="4">
        <v>0</v>
      </c>
    </row>
    <row r="1111" spans="1:11">
      <c r="A1111" s="4" t="str">
        <f t="shared" si="737"/>
        <v>20180117</v>
      </c>
      <c r="B1111" s="4" t="str">
        <f t="shared" si="738"/>
        <v>20180117</v>
      </c>
      <c r="C1111" s="4" t="str">
        <f t="shared" si="734"/>
        <v>证券买入</v>
      </c>
      <c r="D1111" s="4" t="str">
        <f t="shared" si="735"/>
        <v>000768</v>
      </c>
      <c r="E1111" s="4" t="str">
        <f t="shared" si="736"/>
        <v>中航飞机</v>
      </c>
      <c r="F1111" s="4">
        <v>15.36</v>
      </c>
      <c r="G1111" s="4">
        <v>1000</v>
      </c>
      <c r="H1111" s="4">
        <v>15360</v>
      </c>
      <c r="I1111" s="12">
        <v>-15365</v>
      </c>
      <c r="J1111" s="4">
        <v>-33.44</v>
      </c>
      <c r="K1111" s="4">
        <v>3000</v>
      </c>
    </row>
    <row r="1112" spans="1:11">
      <c r="A1112" s="4" t="str">
        <f t="shared" si="737"/>
        <v>20180117</v>
      </c>
      <c r="B1112" s="4" t="str">
        <f t="shared" si="738"/>
        <v>20180117</v>
      </c>
      <c r="C1112" s="4" t="str">
        <f>"证券卖出"</f>
        <v>证券卖出</v>
      </c>
      <c r="D1112" s="4" t="str">
        <f t="shared" si="735"/>
        <v>000768</v>
      </c>
      <c r="E1112" s="4" t="str">
        <f t="shared" si="736"/>
        <v>中航飞机</v>
      </c>
      <c r="F1112" s="4">
        <v>15.56</v>
      </c>
      <c r="G1112" s="4">
        <v>1000</v>
      </c>
      <c r="H1112" s="4">
        <v>15560</v>
      </c>
      <c r="I1112" s="12">
        <v>15539.43</v>
      </c>
      <c r="J1112" s="4">
        <v>15505.99</v>
      </c>
      <c r="K1112" s="4">
        <v>2000</v>
      </c>
    </row>
    <row r="1113" spans="1:11">
      <c r="A1113" s="4" t="str">
        <f t="shared" si="737"/>
        <v>20180117</v>
      </c>
      <c r="B1113" s="4" t="str">
        <f t="shared" si="738"/>
        <v>20180117</v>
      </c>
      <c r="C1113" s="4" t="str">
        <f t="shared" si="734"/>
        <v>证券买入</v>
      </c>
      <c r="D1113" s="4" t="str">
        <f t="shared" si="735"/>
        <v>000768</v>
      </c>
      <c r="E1113" s="4" t="str">
        <f t="shared" si="736"/>
        <v>中航飞机</v>
      </c>
      <c r="F1113" s="4">
        <v>15.5</v>
      </c>
      <c r="G1113" s="4">
        <v>1000</v>
      </c>
      <c r="H1113" s="4">
        <v>15500</v>
      </c>
      <c r="I1113" s="12">
        <v>-15505</v>
      </c>
      <c r="J1113" s="4">
        <v>0.99</v>
      </c>
      <c r="K1113" s="4">
        <v>3000</v>
      </c>
    </row>
    <row r="1114" spans="1:11">
      <c r="A1114" s="4" t="str">
        <f>"20180118"</f>
        <v>20180118</v>
      </c>
      <c r="B1114" s="4" t="str">
        <f>"20180118"</f>
        <v>20180118</v>
      </c>
      <c r="C1114" s="4" t="str">
        <f>"基金申购拨出"</f>
        <v>基金申购拨出</v>
      </c>
      <c r="D1114" s="4" t="str">
        <f>"AA0007"</f>
        <v>AA0007</v>
      </c>
      <c r="E1114" s="4" t="str">
        <f>"银河水星1号集合"</f>
        <v>银河水星1号集合</v>
      </c>
      <c r="F1114" s="4">
        <v>0</v>
      </c>
      <c r="G1114" s="4">
        <v>0</v>
      </c>
      <c r="H1114" s="4">
        <v>0</v>
      </c>
      <c r="I1114" s="12">
        <v>-15574.22</v>
      </c>
      <c r="J1114" s="4">
        <v>-15573.23</v>
      </c>
      <c r="K1114" s="4">
        <v>0</v>
      </c>
    </row>
    <row r="1115" spans="1:11">
      <c r="A1115" s="4" t="str">
        <f>"20180118"</f>
        <v>20180118</v>
      </c>
      <c r="B1115" s="4" t="str">
        <f>"20180118"</f>
        <v>20180118</v>
      </c>
      <c r="C1115" s="4" t="str">
        <f>"证券卖出"</f>
        <v>证券卖出</v>
      </c>
      <c r="D1115" s="4" t="str">
        <f>"000768"</f>
        <v>000768</v>
      </c>
      <c r="E1115" s="4" t="str">
        <f>"中航飞机"</f>
        <v>中航飞机</v>
      </c>
      <c r="F1115" s="4">
        <v>15.56</v>
      </c>
      <c r="G1115" s="4">
        <v>2000</v>
      </c>
      <c r="H1115" s="4">
        <v>31120</v>
      </c>
      <c r="I1115" s="12">
        <v>31079.23</v>
      </c>
      <c r="J1115" s="4">
        <v>15506</v>
      </c>
      <c r="K1115" s="4">
        <v>1000</v>
      </c>
    </row>
    <row r="1116" spans="1:11">
      <c r="A1116" s="4" t="str">
        <f t="shared" ref="A1116:A1119" si="739">"20180119"</f>
        <v>20180119</v>
      </c>
      <c r="B1116" s="4" t="str">
        <f t="shared" ref="B1116:B1119" si="740">"20180119"</f>
        <v>20180119</v>
      </c>
      <c r="C1116" s="4" t="str">
        <f>"基金赎回拨入"</f>
        <v>基金赎回拨入</v>
      </c>
      <c r="D1116" s="4" t="str">
        <f>"AA0007"</f>
        <v>AA0007</v>
      </c>
      <c r="E1116" s="4" t="str">
        <f>"银河水星1号集合"</f>
        <v>银河水星1号集合</v>
      </c>
      <c r="F1116" s="4">
        <v>0</v>
      </c>
      <c r="G1116" s="4">
        <v>24020</v>
      </c>
      <c r="H1116" s="4">
        <v>0</v>
      </c>
      <c r="I1116" s="12">
        <v>24020</v>
      </c>
      <c r="J1116" s="4">
        <v>39526</v>
      </c>
      <c r="K1116" s="4">
        <v>0</v>
      </c>
    </row>
    <row r="1117" spans="1:11">
      <c r="A1117" s="4" t="str">
        <f t="shared" si="739"/>
        <v>20180119</v>
      </c>
      <c r="B1117" s="4" t="str">
        <f t="shared" si="740"/>
        <v>20180119</v>
      </c>
      <c r="C1117" s="4" t="str">
        <f t="shared" ref="C1117:C1119" si="741">"证券买入"</f>
        <v>证券买入</v>
      </c>
      <c r="D1117" s="4" t="str">
        <f>"000768"</f>
        <v>000768</v>
      </c>
      <c r="E1117" s="4" t="str">
        <f>"中航飞机"</f>
        <v>中航飞机</v>
      </c>
      <c r="F1117" s="4">
        <v>15.73</v>
      </c>
      <c r="G1117" s="4">
        <v>1000</v>
      </c>
      <c r="H1117" s="4">
        <v>15730</v>
      </c>
      <c r="I1117" s="12">
        <v>-15735</v>
      </c>
      <c r="J1117" s="4">
        <v>23791</v>
      </c>
      <c r="K1117" s="4">
        <v>2000</v>
      </c>
    </row>
    <row r="1118" spans="1:11">
      <c r="A1118" s="4" t="str">
        <f t="shared" si="739"/>
        <v>20180119</v>
      </c>
      <c r="B1118" s="4" t="str">
        <f t="shared" si="740"/>
        <v>20180119</v>
      </c>
      <c r="C1118" s="4" t="str">
        <f t="shared" si="741"/>
        <v>证券买入</v>
      </c>
      <c r="D1118" s="4" t="str">
        <f>"150182"</f>
        <v>150182</v>
      </c>
      <c r="E1118" s="4" t="str">
        <f>"军工B"</f>
        <v>军工B</v>
      </c>
      <c r="F1118" s="4">
        <v>0.724</v>
      </c>
      <c r="G1118" s="4">
        <v>20000</v>
      </c>
      <c r="H1118" s="4">
        <v>14480</v>
      </c>
      <c r="I1118" s="12">
        <v>-14485</v>
      </c>
      <c r="J1118" s="4">
        <v>9306</v>
      </c>
      <c r="K1118" s="4">
        <v>20000</v>
      </c>
    </row>
    <row r="1119" spans="1:11">
      <c r="A1119" s="4" t="str">
        <f t="shared" si="739"/>
        <v>20180119</v>
      </c>
      <c r="B1119" s="4" t="str">
        <f t="shared" si="740"/>
        <v>20180119</v>
      </c>
      <c r="C1119" s="4" t="str">
        <f t="shared" si="741"/>
        <v>证券买入</v>
      </c>
      <c r="D1119" s="4" t="str">
        <f>"150201"</f>
        <v>150201</v>
      </c>
      <c r="E1119" s="4" t="str">
        <f>"券商B"</f>
        <v>券商B</v>
      </c>
      <c r="F1119" s="4">
        <v>0.465</v>
      </c>
      <c r="G1119" s="4">
        <v>20000</v>
      </c>
      <c r="H1119" s="4">
        <v>9300</v>
      </c>
      <c r="I1119" s="12">
        <v>-9305</v>
      </c>
      <c r="J1119" s="4">
        <v>1</v>
      </c>
      <c r="K1119" s="4">
        <v>20000</v>
      </c>
    </row>
    <row r="1120" spans="1:11">
      <c r="A1120" s="4" t="str">
        <f t="shared" ref="A1120:A1127" si="742">"20180123"</f>
        <v>20180123</v>
      </c>
      <c r="B1120" s="4" t="str">
        <f t="shared" ref="B1120:B1127" si="743">"20180123"</f>
        <v>20180123</v>
      </c>
      <c r="C1120" s="4" t="str">
        <f>"银行转证券"</f>
        <v>银行转证券</v>
      </c>
      <c r="D1120" s="4"/>
      <c r="E1120" s="4"/>
      <c r="F1120" s="4">
        <v>0</v>
      </c>
      <c r="G1120" s="4">
        <v>0</v>
      </c>
      <c r="H1120" s="4">
        <v>0</v>
      </c>
      <c r="I1120" s="12">
        <v>4000</v>
      </c>
      <c r="J1120" s="4">
        <v>4001</v>
      </c>
      <c r="K1120" s="4">
        <v>0</v>
      </c>
    </row>
    <row r="1121" spans="1:11">
      <c r="A1121" s="4" t="str">
        <f t="shared" si="742"/>
        <v>20180123</v>
      </c>
      <c r="B1121" s="4" t="str">
        <f t="shared" si="743"/>
        <v>20180123</v>
      </c>
      <c r="C1121" s="4" t="str">
        <f>"基金申购拨出"</f>
        <v>基金申购拨出</v>
      </c>
      <c r="D1121" s="4" t="str">
        <f>"AA0007"</f>
        <v>AA0007</v>
      </c>
      <c r="E1121" s="4" t="str">
        <f>"银河水星1号集合"</f>
        <v>银河水星1号集合</v>
      </c>
      <c r="F1121" s="4">
        <v>0</v>
      </c>
      <c r="G1121" s="4">
        <v>0</v>
      </c>
      <c r="H1121" s="4">
        <v>0</v>
      </c>
      <c r="I1121" s="12">
        <v>-25854.03</v>
      </c>
      <c r="J1121" s="4">
        <v>-21853.03</v>
      </c>
      <c r="K1121" s="4">
        <v>0</v>
      </c>
    </row>
    <row r="1122" spans="1:11">
      <c r="A1122" s="4" t="str">
        <f t="shared" si="742"/>
        <v>20180123</v>
      </c>
      <c r="B1122" s="4" t="str">
        <f t="shared" si="743"/>
        <v>20180123</v>
      </c>
      <c r="C1122" s="4" t="str">
        <f t="shared" ref="C1122:C1127" si="744">"证券卖出"</f>
        <v>证券卖出</v>
      </c>
      <c r="D1122" s="4" t="str">
        <f>"150201"</f>
        <v>150201</v>
      </c>
      <c r="E1122" s="4" t="str">
        <f>"券商B"</f>
        <v>券商B</v>
      </c>
      <c r="F1122" s="4">
        <v>0.498</v>
      </c>
      <c r="G1122" s="4">
        <v>20000</v>
      </c>
      <c r="H1122" s="4">
        <v>9960</v>
      </c>
      <c r="I1122" s="12">
        <v>9955</v>
      </c>
      <c r="J1122" s="4">
        <v>-11898.03</v>
      </c>
      <c r="K1122" s="4">
        <v>0</v>
      </c>
    </row>
    <row r="1123" spans="1:11">
      <c r="A1123" s="4" t="str">
        <f t="shared" si="742"/>
        <v>20180123</v>
      </c>
      <c r="B1123" s="4" t="str">
        <f t="shared" si="743"/>
        <v>20180123</v>
      </c>
      <c r="C1123" s="4" t="str">
        <f t="shared" si="744"/>
        <v>证券卖出</v>
      </c>
      <c r="D1123" s="4" t="str">
        <f>"150153"</f>
        <v>150153</v>
      </c>
      <c r="E1123" s="4" t="str">
        <f>"创业板B"</f>
        <v>创业板B</v>
      </c>
      <c r="F1123" s="4">
        <v>0.596</v>
      </c>
      <c r="G1123" s="4">
        <v>20000</v>
      </c>
      <c r="H1123" s="4">
        <v>11920</v>
      </c>
      <c r="I1123" s="12">
        <v>11915</v>
      </c>
      <c r="J1123" s="4">
        <v>16.97</v>
      </c>
      <c r="K1123" s="4">
        <v>20000</v>
      </c>
    </row>
    <row r="1124" spans="1:11">
      <c r="A1124" s="4" t="str">
        <f t="shared" si="742"/>
        <v>20180123</v>
      </c>
      <c r="B1124" s="4" t="str">
        <f t="shared" si="743"/>
        <v>20180123</v>
      </c>
      <c r="C1124" s="4" t="str">
        <f t="shared" ref="C1124:C1131" si="745">"证券买入"</f>
        <v>证券买入</v>
      </c>
      <c r="D1124" s="4" t="str">
        <f>"000768"</f>
        <v>000768</v>
      </c>
      <c r="E1124" s="4" t="str">
        <f>"中航飞机"</f>
        <v>中航飞机</v>
      </c>
      <c r="F1124" s="4">
        <v>15.89</v>
      </c>
      <c r="G1124" s="4">
        <v>1000</v>
      </c>
      <c r="H1124" s="4">
        <v>15890</v>
      </c>
      <c r="I1124" s="12">
        <v>-15895</v>
      </c>
      <c r="J1124" s="4">
        <v>-15878.03</v>
      </c>
      <c r="K1124" s="4">
        <v>3000</v>
      </c>
    </row>
    <row r="1125" spans="1:11">
      <c r="A1125" s="4" t="str">
        <f t="shared" si="742"/>
        <v>20180123</v>
      </c>
      <c r="B1125" s="4" t="str">
        <f t="shared" si="743"/>
        <v>20180123</v>
      </c>
      <c r="C1125" s="4" t="str">
        <f t="shared" si="745"/>
        <v>证券买入</v>
      </c>
      <c r="D1125" s="4" t="str">
        <f t="shared" ref="D1125:D1129" si="746">"150182"</f>
        <v>150182</v>
      </c>
      <c r="E1125" s="4" t="str">
        <f t="shared" ref="E1125:E1129" si="747">"军工B"</f>
        <v>军工B</v>
      </c>
      <c r="F1125" s="4">
        <v>0.728</v>
      </c>
      <c r="G1125" s="4">
        <v>20000</v>
      </c>
      <c r="H1125" s="4">
        <v>14560</v>
      </c>
      <c r="I1125" s="12">
        <v>-14565</v>
      </c>
      <c r="J1125" s="4">
        <v>-30443.03</v>
      </c>
      <c r="K1125" s="4">
        <v>40000</v>
      </c>
    </row>
    <row r="1126" spans="1:11">
      <c r="A1126" s="4" t="str">
        <f t="shared" si="742"/>
        <v>20180123</v>
      </c>
      <c r="B1126" s="4" t="str">
        <f t="shared" si="743"/>
        <v>20180123</v>
      </c>
      <c r="C1126" s="4" t="str">
        <f t="shared" si="744"/>
        <v>证券卖出</v>
      </c>
      <c r="D1126" s="4" t="str">
        <f>"000768"</f>
        <v>000768</v>
      </c>
      <c r="E1126" s="4" t="str">
        <f>"中航飞机"</f>
        <v>中航飞机</v>
      </c>
      <c r="F1126" s="4">
        <v>15.97</v>
      </c>
      <c r="G1126" s="4">
        <v>1000</v>
      </c>
      <c r="H1126" s="4">
        <v>15970</v>
      </c>
      <c r="I1126" s="12">
        <v>15949.03</v>
      </c>
      <c r="J1126" s="4">
        <v>-14494</v>
      </c>
      <c r="K1126" s="4">
        <v>2000</v>
      </c>
    </row>
    <row r="1127" spans="1:11">
      <c r="A1127" s="4" t="str">
        <f t="shared" si="742"/>
        <v>20180123</v>
      </c>
      <c r="B1127" s="4" t="str">
        <f t="shared" si="743"/>
        <v>20180123</v>
      </c>
      <c r="C1127" s="4" t="str">
        <f t="shared" si="744"/>
        <v>证券卖出</v>
      </c>
      <c r="D1127" s="4" t="str">
        <f t="shared" si="746"/>
        <v>150182</v>
      </c>
      <c r="E1127" s="4" t="str">
        <f t="shared" si="747"/>
        <v>军工B</v>
      </c>
      <c r="F1127" s="4">
        <v>0.725</v>
      </c>
      <c r="G1127" s="4">
        <v>20000</v>
      </c>
      <c r="H1127" s="4">
        <v>14500</v>
      </c>
      <c r="I1127" s="12">
        <v>14495</v>
      </c>
      <c r="J1127" s="4">
        <v>1</v>
      </c>
      <c r="K1127" s="4">
        <v>20000</v>
      </c>
    </row>
    <row r="1128" spans="1:11">
      <c r="A1128" s="4" t="str">
        <f t="shared" ref="A1128:A1131" si="748">"20180124"</f>
        <v>20180124</v>
      </c>
      <c r="B1128" s="4" t="str">
        <f t="shared" ref="B1128:B1131" si="749">"20180124"</f>
        <v>20180124</v>
      </c>
      <c r="C1128" s="4" t="str">
        <f>"基金赎回拨入"</f>
        <v>基金赎回拨入</v>
      </c>
      <c r="D1128" s="4" t="str">
        <f>"AA0007"</f>
        <v>AA0007</v>
      </c>
      <c r="E1128" s="4" t="str">
        <f>"银河水星1号集合"</f>
        <v>银河水星1号集合</v>
      </c>
      <c r="F1128" s="4">
        <v>0</v>
      </c>
      <c r="G1128" s="4">
        <v>39533</v>
      </c>
      <c r="H1128" s="4">
        <v>0</v>
      </c>
      <c r="I1128" s="12">
        <v>39533.39</v>
      </c>
      <c r="J1128" s="4">
        <v>39534.39</v>
      </c>
      <c r="K1128" s="4">
        <v>0</v>
      </c>
    </row>
    <row r="1129" spans="1:11">
      <c r="A1129" s="4" t="str">
        <f t="shared" si="748"/>
        <v>20180124</v>
      </c>
      <c r="B1129" s="4" t="str">
        <f t="shared" si="749"/>
        <v>20180124</v>
      </c>
      <c r="C1129" s="4" t="str">
        <f t="shared" si="745"/>
        <v>证券买入</v>
      </c>
      <c r="D1129" s="4" t="str">
        <f t="shared" si="746"/>
        <v>150182</v>
      </c>
      <c r="E1129" s="4" t="str">
        <f t="shared" si="747"/>
        <v>军工B</v>
      </c>
      <c r="F1129" s="4">
        <v>0.731</v>
      </c>
      <c r="G1129" s="4">
        <v>20000</v>
      </c>
      <c r="H1129" s="4">
        <v>14620</v>
      </c>
      <c r="I1129" s="12">
        <v>-14625</v>
      </c>
      <c r="J1129" s="4">
        <v>24909.39</v>
      </c>
      <c r="K1129" s="4">
        <v>40000</v>
      </c>
    </row>
    <row r="1130" spans="1:11">
      <c r="A1130" s="4" t="str">
        <f t="shared" si="748"/>
        <v>20180124</v>
      </c>
      <c r="B1130" s="4" t="str">
        <f t="shared" si="749"/>
        <v>20180124</v>
      </c>
      <c r="C1130" s="4" t="str">
        <f t="shared" si="745"/>
        <v>证券买入</v>
      </c>
      <c r="D1130" s="4" t="str">
        <f>"000768"</f>
        <v>000768</v>
      </c>
      <c r="E1130" s="4" t="str">
        <f>"中航飞机"</f>
        <v>中航飞机</v>
      </c>
      <c r="F1130" s="4">
        <v>16.138</v>
      </c>
      <c r="G1130" s="4">
        <v>1000</v>
      </c>
      <c r="H1130" s="4">
        <v>16138</v>
      </c>
      <c r="I1130" s="12">
        <v>-16143</v>
      </c>
      <c r="J1130" s="4">
        <v>8766.39</v>
      </c>
      <c r="K1130" s="4">
        <v>3000</v>
      </c>
    </row>
    <row r="1131" spans="1:11">
      <c r="A1131" s="4" t="str">
        <f t="shared" si="748"/>
        <v>20180124</v>
      </c>
      <c r="B1131" s="4" t="str">
        <f t="shared" si="749"/>
        <v>20180124</v>
      </c>
      <c r="C1131" s="4" t="str">
        <f t="shared" si="745"/>
        <v>证券买入</v>
      </c>
      <c r="D1131" s="4" t="str">
        <f>"000601"</f>
        <v>000601</v>
      </c>
      <c r="E1131" s="4" t="str">
        <f>"韶能股份"</f>
        <v>韶能股份</v>
      </c>
      <c r="F1131" s="4">
        <v>7.32</v>
      </c>
      <c r="G1131" s="4">
        <v>1100</v>
      </c>
      <c r="H1131" s="4">
        <v>8052</v>
      </c>
      <c r="I1131" s="12">
        <v>-8057</v>
      </c>
      <c r="J1131" s="4">
        <v>709.39</v>
      </c>
      <c r="K1131" s="4">
        <v>23300</v>
      </c>
    </row>
    <row r="1132" spans="1:11">
      <c r="A1132" s="4" t="str">
        <f t="shared" ref="A1132:A1134" si="750">"20180125"</f>
        <v>20180125</v>
      </c>
      <c r="B1132" s="4" t="str">
        <f>"20180125"</f>
        <v>20180125</v>
      </c>
      <c r="C1132" s="4" t="str">
        <f>"银行转证券"</f>
        <v>银行转证券</v>
      </c>
      <c r="D1132" s="4"/>
      <c r="E1132" s="4"/>
      <c r="F1132" s="4">
        <v>0</v>
      </c>
      <c r="G1132" s="4">
        <v>0</v>
      </c>
      <c r="H1132" s="4">
        <v>0</v>
      </c>
      <c r="I1132" s="12">
        <v>6500</v>
      </c>
      <c r="J1132" s="4">
        <v>7209.39</v>
      </c>
      <c r="K1132" s="4">
        <v>0</v>
      </c>
    </row>
    <row r="1133" spans="1:11">
      <c r="A1133" s="4" t="str">
        <f t="shared" si="750"/>
        <v>20180125</v>
      </c>
      <c r="B1133" s="4" t="str">
        <f>"20180125"</f>
        <v>20180125</v>
      </c>
      <c r="C1133" s="4" t="str">
        <f>"银行转证券"</f>
        <v>银行转证券</v>
      </c>
      <c r="D1133" s="4"/>
      <c r="E1133" s="4"/>
      <c r="F1133" s="4">
        <v>0</v>
      </c>
      <c r="G1133" s="4">
        <v>0</v>
      </c>
      <c r="H1133" s="4">
        <v>0</v>
      </c>
      <c r="I1133" s="12">
        <v>10000</v>
      </c>
      <c r="J1133" s="4">
        <v>17209.39</v>
      </c>
      <c r="K1133" s="4">
        <v>0</v>
      </c>
    </row>
    <row r="1134" spans="1:11">
      <c r="A1134" s="4" t="str">
        <f t="shared" si="750"/>
        <v>20180125</v>
      </c>
      <c r="B1134" s="4" t="str">
        <f>"20180123"</f>
        <v>20180123</v>
      </c>
      <c r="C1134" s="4" t="str">
        <f>"配售缴款"</f>
        <v>配售缴款</v>
      </c>
      <c r="D1134" s="4" t="str">
        <f>"732506"</f>
        <v>732506</v>
      </c>
      <c r="E1134" s="4" t="str">
        <f>"南都申购"</f>
        <v>南都申购</v>
      </c>
      <c r="F1134" s="4">
        <v>16.25</v>
      </c>
      <c r="G1134" s="4">
        <v>1000</v>
      </c>
      <c r="H1134" s="4">
        <v>16250</v>
      </c>
      <c r="I1134" s="12">
        <v>-16250</v>
      </c>
      <c r="J1134" s="4">
        <v>959.39</v>
      </c>
      <c r="K1134" s="4">
        <v>0</v>
      </c>
    </row>
    <row r="1135" spans="1:11">
      <c r="A1135" s="4" t="str">
        <f t="shared" ref="A1135:A1139" si="751">"20180126"</f>
        <v>20180126</v>
      </c>
      <c r="B1135" s="4" t="str">
        <f>"20180123"</f>
        <v>20180123</v>
      </c>
      <c r="C1135" s="4" t="str">
        <f>"配售股份"</f>
        <v>配售股份</v>
      </c>
      <c r="D1135" s="4" t="str">
        <f>"732506"</f>
        <v>732506</v>
      </c>
      <c r="E1135" s="4" t="str">
        <f>"南都申购"</f>
        <v>南都申购</v>
      </c>
      <c r="F1135" s="4">
        <v>16.25</v>
      </c>
      <c r="G1135" s="4">
        <v>1000</v>
      </c>
      <c r="H1135" s="4">
        <v>16250</v>
      </c>
      <c r="I1135" s="12">
        <v>0</v>
      </c>
      <c r="J1135" s="4">
        <v>959.39</v>
      </c>
      <c r="K1135" s="4">
        <v>1000</v>
      </c>
    </row>
    <row r="1136" spans="1:11">
      <c r="A1136" s="4" t="str">
        <f t="shared" si="751"/>
        <v>20180126</v>
      </c>
      <c r="B1136" s="4" t="str">
        <f t="shared" ref="B1136:B1139" si="752">"20180126"</f>
        <v>20180126</v>
      </c>
      <c r="C1136" s="4" t="str">
        <f t="shared" ref="C1136:C1141" si="753">"证券卖出"</f>
        <v>证券卖出</v>
      </c>
      <c r="D1136" s="4" t="str">
        <f t="shared" ref="D1136:D1142" si="754">"000768"</f>
        <v>000768</v>
      </c>
      <c r="E1136" s="4" t="str">
        <f t="shared" ref="E1136:E1142" si="755">"中航飞机"</f>
        <v>中航飞机</v>
      </c>
      <c r="F1136" s="4">
        <v>16.43</v>
      </c>
      <c r="G1136" s="4">
        <v>1000</v>
      </c>
      <c r="H1136" s="4">
        <v>16430</v>
      </c>
      <c r="I1136" s="12">
        <v>16408.48</v>
      </c>
      <c r="J1136" s="4">
        <v>17367.87</v>
      </c>
      <c r="K1136" s="4">
        <v>2000</v>
      </c>
    </row>
    <row r="1137" spans="1:11">
      <c r="A1137" s="4" t="str">
        <f t="shared" si="751"/>
        <v>20180126</v>
      </c>
      <c r="B1137" s="4" t="str">
        <f t="shared" si="752"/>
        <v>20180126</v>
      </c>
      <c r="C1137" s="4" t="str">
        <f t="shared" si="753"/>
        <v>证券卖出</v>
      </c>
      <c r="D1137" s="4" t="str">
        <f>"150153"</f>
        <v>150153</v>
      </c>
      <c r="E1137" s="4" t="str">
        <f>"创业板B"</f>
        <v>创业板B</v>
      </c>
      <c r="F1137" s="4">
        <v>0.654</v>
      </c>
      <c r="G1137" s="4">
        <v>20000</v>
      </c>
      <c r="H1137" s="4">
        <v>13080</v>
      </c>
      <c r="I1137" s="12">
        <v>13075</v>
      </c>
      <c r="J1137" s="4">
        <v>30442.87</v>
      </c>
      <c r="K1137" s="4">
        <v>0</v>
      </c>
    </row>
    <row r="1138" spans="1:11">
      <c r="A1138" s="4" t="str">
        <f t="shared" si="751"/>
        <v>20180126</v>
      </c>
      <c r="B1138" s="4" t="str">
        <f t="shared" si="752"/>
        <v>20180126</v>
      </c>
      <c r="C1138" s="4" t="str">
        <f t="shared" ref="C1138:C1144" si="756">"证券买入"</f>
        <v>证券买入</v>
      </c>
      <c r="D1138" s="4" t="str">
        <f>"000601"</f>
        <v>000601</v>
      </c>
      <c r="E1138" s="4" t="str">
        <f>"韶能股份"</f>
        <v>韶能股份</v>
      </c>
      <c r="F1138" s="4">
        <v>7.24</v>
      </c>
      <c r="G1138" s="4">
        <v>1900</v>
      </c>
      <c r="H1138" s="4">
        <v>13756</v>
      </c>
      <c r="I1138" s="12">
        <v>-13761</v>
      </c>
      <c r="J1138" s="4">
        <v>16681.87</v>
      </c>
      <c r="K1138" s="4">
        <v>25200</v>
      </c>
    </row>
    <row r="1139" spans="1:11">
      <c r="A1139" s="4" t="str">
        <f t="shared" si="751"/>
        <v>20180126</v>
      </c>
      <c r="B1139" s="4" t="str">
        <f t="shared" si="752"/>
        <v>20180126</v>
      </c>
      <c r="C1139" s="4" t="str">
        <f t="shared" si="756"/>
        <v>证券买入</v>
      </c>
      <c r="D1139" s="4" t="str">
        <f t="shared" si="754"/>
        <v>000768</v>
      </c>
      <c r="E1139" s="4" t="str">
        <f t="shared" si="755"/>
        <v>中航飞机</v>
      </c>
      <c r="F1139" s="4">
        <v>16.34</v>
      </c>
      <c r="G1139" s="4">
        <v>1000</v>
      </c>
      <c r="H1139" s="4">
        <v>16340</v>
      </c>
      <c r="I1139" s="12">
        <v>-16345.07</v>
      </c>
      <c r="J1139" s="4">
        <v>336.8</v>
      </c>
      <c r="K1139" s="4">
        <v>3000</v>
      </c>
    </row>
    <row r="1140" spans="1:11">
      <c r="A1140" s="4" t="str">
        <f t="shared" ref="A1140:A1144" si="757">"20180129"</f>
        <v>20180129</v>
      </c>
      <c r="B1140" s="4" t="str">
        <f t="shared" ref="B1140:B1144" si="758">"20180129"</f>
        <v>20180129</v>
      </c>
      <c r="C1140" s="4" t="str">
        <f t="shared" si="753"/>
        <v>证券卖出</v>
      </c>
      <c r="D1140" s="4" t="str">
        <f>"150182"</f>
        <v>150182</v>
      </c>
      <c r="E1140" s="4" t="str">
        <f>"军工B"</f>
        <v>军工B</v>
      </c>
      <c r="F1140" s="4">
        <v>0.749</v>
      </c>
      <c r="G1140" s="4">
        <v>40000</v>
      </c>
      <c r="H1140" s="4">
        <v>29960</v>
      </c>
      <c r="I1140" s="12">
        <v>29950.71</v>
      </c>
      <c r="J1140" s="4">
        <v>30287.51</v>
      </c>
      <c r="K1140" s="4">
        <v>0</v>
      </c>
    </row>
    <row r="1141" spans="1:11">
      <c r="A1141" s="4" t="str">
        <f t="shared" si="757"/>
        <v>20180129</v>
      </c>
      <c r="B1141" s="4" t="str">
        <f t="shared" si="758"/>
        <v>20180129</v>
      </c>
      <c r="C1141" s="4" t="str">
        <f t="shared" si="753"/>
        <v>证券卖出</v>
      </c>
      <c r="D1141" s="4" t="str">
        <f t="shared" si="754"/>
        <v>000768</v>
      </c>
      <c r="E1141" s="4" t="str">
        <f t="shared" si="755"/>
        <v>中航飞机</v>
      </c>
      <c r="F1141" s="4">
        <v>16.24</v>
      </c>
      <c r="G1141" s="4">
        <v>3000</v>
      </c>
      <c r="H1141" s="4">
        <v>48720</v>
      </c>
      <c r="I1141" s="12">
        <v>48656.18</v>
      </c>
      <c r="J1141" s="4">
        <v>78943.69</v>
      </c>
      <c r="K1141" s="4">
        <v>0</v>
      </c>
    </row>
    <row r="1142" spans="1:11">
      <c r="A1142" s="4" t="str">
        <f t="shared" si="757"/>
        <v>20180129</v>
      </c>
      <c r="B1142" s="4" t="str">
        <f t="shared" si="758"/>
        <v>20180129</v>
      </c>
      <c r="C1142" s="4" t="str">
        <f t="shared" si="756"/>
        <v>证券买入</v>
      </c>
      <c r="D1142" s="4" t="str">
        <f t="shared" si="754"/>
        <v>000768</v>
      </c>
      <c r="E1142" s="4" t="str">
        <f t="shared" si="755"/>
        <v>中航飞机</v>
      </c>
      <c r="F1142" s="4">
        <v>16.1</v>
      </c>
      <c r="G1142" s="4">
        <v>1000</v>
      </c>
      <c r="H1142" s="4">
        <v>16100</v>
      </c>
      <c r="I1142" s="12">
        <v>-16105</v>
      </c>
      <c r="J1142" s="4">
        <v>62838.69</v>
      </c>
      <c r="K1142" s="4">
        <v>1000</v>
      </c>
    </row>
    <row r="1143" spans="1:11">
      <c r="A1143" s="4" t="str">
        <f t="shared" si="757"/>
        <v>20180129</v>
      </c>
      <c r="B1143" s="4" t="str">
        <f t="shared" si="758"/>
        <v>20180129</v>
      </c>
      <c r="C1143" s="4" t="str">
        <f t="shared" si="756"/>
        <v>证券买入</v>
      </c>
      <c r="D1143" s="4" t="str">
        <f>"150182"</f>
        <v>150182</v>
      </c>
      <c r="E1143" s="4" t="str">
        <f>"军工B"</f>
        <v>军工B</v>
      </c>
      <c r="F1143" s="4">
        <v>0.734</v>
      </c>
      <c r="G1143" s="4">
        <v>20000</v>
      </c>
      <c r="H1143" s="4">
        <v>14680</v>
      </c>
      <c r="I1143" s="12">
        <v>-14685</v>
      </c>
      <c r="J1143" s="4">
        <v>48153.69</v>
      </c>
      <c r="K1143" s="4">
        <v>20000</v>
      </c>
    </row>
    <row r="1144" spans="1:11">
      <c r="A1144" s="4" t="str">
        <f t="shared" si="757"/>
        <v>20180129</v>
      </c>
      <c r="B1144" s="4" t="str">
        <f t="shared" si="758"/>
        <v>20180129</v>
      </c>
      <c r="C1144" s="4" t="str">
        <f t="shared" si="756"/>
        <v>证券买入</v>
      </c>
      <c r="D1144" s="4" t="str">
        <f>"600575"</f>
        <v>600575</v>
      </c>
      <c r="E1144" s="4" t="str">
        <f>"皖江物流"</f>
        <v>皖江物流</v>
      </c>
      <c r="F1144" s="4">
        <v>4.18</v>
      </c>
      <c r="G1144" s="4">
        <v>11500</v>
      </c>
      <c r="H1144" s="4">
        <v>48070</v>
      </c>
      <c r="I1144" s="12">
        <v>-48085.86</v>
      </c>
      <c r="J1144" s="4">
        <v>67.83</v>
      </c>
      <c r="K1144" s="4">
        <v>11500</v>
      </c>
    </row>
    <row r="1145" spans="1:11">
      <c r="A1145" s="4" t="str">
        <f t="shared" ref="A1145:A1149" si="759">"20180130"</f>
        <v>20180130</v>
      </c>
      <c r="B1145" s="4" t="str">
        <f t="shared" ref="B1145:B1149" si="760">"20180130"</f>
        <v>20180130</v>
      </c>
      <c r="C1145" s="4" t="str">
        <f>"银行转证券"</f>
        <v>银行转证券</v>
      </c>
      <c r="D1145" s="4"/>
      <c r="E1145" s="4"/>
      <c r="F1145" s="4">
        <v>0</v>
      </c>
      <c r="G1145" s="4">
        <v>0</v>
      </c>
      <c r="H1145" s="4">
        <v>0</v>
      </c>
      <c r="I1145" s="12">
        <v>10918.95</v>
      </c>
      <c r="J1145" s="4">
        <v>10986.78</v>
      </c>
      <c r="K1145" s="4">
        <v>0</v>
      </c>
    </row>
    <row r="1146" spans="1:11">
      <c r="A1146" s="4" t="str">
        <f t="shared" si="759"/>
        <v>20180130</v>
      </c>
      <c r="B1146" s="4" t="str">
        <f t="shared" si="760"/>
        <v>20180130</v>
      </c>
      <c r="C1146" s="4" t="str">
        <f>"基金申购拨出"</f>
        <v>基金申购拨出</v>
      </c>
      <c r="D1146" s="4" t="str">
        <f>"AA0007"</f>
        <v>AA0007</v>
      </c>
      <c r="E1146" s="4" t="str">
        <f>"银河水星1号集合"</f>
        <v>银河水星1号集合</v>
      </c>
      <c r="F1146" s="4">
        <v>0</v>
      </c>
      <c r="G1146" s="4">
        <v>0</v>
      </c>
      <c r="H1146" s="4">
        <v>0</v>
      </c>
      <c r="I1146" s="12">
        <v>-30584.54</v>
      </c>
      <c r="J1146" s="4">
        <v>-19597.76</v>
      </c>
      <c r="K1146" s="4">
        <v>0</v>
      </c>
    </row>
    <row r="1147" spans="1:11">
      <c r="A1147" s="4" t="str">
        <f t="shared" si="759"/>
        <v>20180130</v>
      </c>
      <c r="B1147" s="4" t="str">
        <f t="shared" si="760"/>
        <v>20180130</v>
      </c>
      <c r="C1147" s="4" t="str">
        <f t="shared" ref="C1147:C1153" si="761">"证券卖出"</f>
        <v>证券卖出</v>
      </c>
      <c r="D1147" s="4" t="str">
        <f>"000768"</f>
        <v>000768</v>
      </c>
      <c r="E1147" s="4" t="str">
        <f>"中航飞机"</f>
        <v>中航飞机</v>
      </c>
      <c r="F1147" s="4">
        <v>16.21</v>
      </c>
      <c r="G1147" s="4">
        <v>1000</v>
      </c>
      <c r="H1147" s="4">
        <v>16210</v>
      </c>
      <c r="I1147" s="12">
        <v>16188.76</v>
      </c>
      <c r="J1147" s="4">
        <v>-3409</v>
      </c>
      <c r="K1147" s="4">
        <v>0</v>
      </c>
    </row>
    <row r="1148" spans="1:11">
      <c r="A1148" s="4" t="str">
        <f t="shared" si="759"/>
        <v>20180130</v>
      </c>
      <c r="B1148" s="4" t="str">
        <f t="shared" si="760"/>
        <v>20180130</v>
      </c>
      <c r="C1148" s="4" t="str">
        <f t="shared" si="761"/>
        <v>证券卖出</v>
      </c>
      <c r="D1148" s="4" t="str">
        <f>"150182"</f>
        <v>150182</v>
      </c>
      <c r="E1148" s="4" t="str">
        <f>"军工B"</f>
        <v>军工B</v>
      </c>
      <c r="F1148" s="4">
        <v>0.736</v>
      </c>
      <c r="G1148" s="4">
        <v>20000</v>
      </c>
      <c r="H1148" s="4">
        <v>14720</v>
      </c>
      <c r="I1148" s="12">
        <v>14715</v>
      </c>
      <c r="J1148" s="4">
        <v>11306</v>
      </c>
      <c r="K1148" s="4">
        <v>0</v>
      </c>
    </row>
    <row r="1149" spans="1:11">
      <c r="A1149" s="4" t="str">
        <f t="shared" si="759"/>
        <v>20180130</v>
      </c>
      <c r="B1149" s="4" t="str">
        <f t="shared" si="760"/>
        <v>20180130</v>
      </c>
      <c r="C1149" s="4" t="str">
        <f>"证券买入"</f>
        <v>证券买入</v>
      </c>
      <c r="D1149" s="4" t="str">
        <f>"300463"</f>
        <v>300463</v>
      </c>
      <c r="E1149" s="4" t="str">
        <f>"迈克生物"</f>
        <v>迈克生物</v>
      </c>
      <c r="F1149" s="4">
        <v>22.6</v>
      </c>
      <c r="G1149" s="4">
        <v>500</v>
      </c>
      <c r="H1149" s="4">
        <v>11300</v>
      </c>
      <c r="I1149" s="12">
        <v>-11305</v>
      </c>
      <c r="J1149" s="4">
        <v>1</v>
      </c>
      <c r="K1149" s="4">
        <v>500</v>
      </c>
    </row>
    <row r="1150" spans="1:11">
      <c r="A1150" s="4" t="str">
        <f t="shared" ref="A1150:A1157" si="762">"20180131"</f>
        <v>20180131</v>
      </c>
      <c r="B1150" s="4" t="str">
        <f t="shared" ref="B1150:B1157" si="763">"20180131"</f>
        <v>20180131</v>
      </c>
      <c r="C1150" s="4" t="str">
        <f>"基金申购拨出"</f>
        <v>基金申购拨出</v>
      </c>
      <c r="D1150" s="4" t="str">
        <f>"AA0007"</f>
        <v>AA0007</v>
      </c>
      <c r="E1150" s="4" t="str">
        <f>"银河水星1号集合"</f>
        <v>银河水星1号集合</v>
      </c>
      <c r="F1150" s="4">
        <v>0</v>
      </c>
      <c r="G1150" s="4">
        <v>0</v>
      </c>
      <c r="H1150" s="4">
        <v>0</v>
      </c>
      <c r="I1150" s="12">
        <v>-62204.27</v>
      </c>
      <c r="J1150" s="4">
        <v>-62203.27</v>
      </c>
      <c r="K1150" s="4">
        <v>0</v>
      </c>
    </row>
    <row r="1151" spans="1:11">
      <c r="A1151" s="4" t="str">
        <f t="shared" si="762"/>
        <v>20180131</v>
      </c>
      <c r="B1151" s="4" t="str">
        <f>"20180123"</f>
        <v>20180123</v>
      </c>
      <c r="C1151" s="4" t="str">
        <f>"新股入帐"</f>
        <v>新股入帐</v>
      </c>
      <c r="D1151" s="4" t="str">
        <f>"603506"</f>
        <v>603506</v>
      </c>
      <c r="E1151" s="4" t="str">
        <f>"新代码"</f>
        <v>新代码</v>
      </c>
      <c r="F1151" s="4">
        <v>16.25</v>
      </c>
      <c r="G1151" s="4">
        <v>1000</v>
      </c>
      <c r="H1151" s="4">
        <v>0</v>
      </c>
      <c r="I1151" s="12">
        <v>0</v>
      </c>
      <c r="J1151" s="4">
        <v>-62203.27</v>
      </c>
      <c r="K1151" s="4">
        <v>1000</v>
      </c>
    </row>
    <row r="1152" spans="1:11">
      <c r="A1152" s="4" t="str">
        <f t="shared" si="762"/>
        <v>20180131</v>
      </c>
      <c r="B1152" s="4" t="str">
        <f t="shared" si="763"/>
        <v>20180131</v>
      </c>
      <c r="C1152" s="4" t="str">
        <f t="shared" si="761"/>
        <v>证券卖出</v>
      </c>
      <c r="D1152" s="4" t="str">
        <f>"002925"</f>
        <v>002925</v>
      </c>
      <c r="E1152" s="4" t="str">
        <f>"盈趣科技"</f>
        <v>盈趣科技</v>
      </c>
      <c r="F1152" s="4">
        <v>80.35</v>
      </c>
      <c r="G1152" s="4">
        <v>500</v>
      </c>
      <c r="H1152" s="4">
        <v>40175</v>
      </c>
      <c r="I1152" s="12">
        <v>40122.37</v>
      </c>
      <c r="J1152" s="4">
        <v>-22080.9</v>
      </c>
      <c r="K1152" s="4">
        <v>0</v>
      </c>
    </row>
    <row r="1153" spans="1:11">
      <c r="A1153" s="4" t="str">
        <f t="shared" si="762"/>
        <v>20180131</v>
      </c>
      <c r="B1153" s="4" t="str">
        <f t="shared" si="763"/>
        <v>20180131</v>
      </c>
      <c r="C1153" s="4" t="str">
        <f t="shared" si="761"/>
        <v>证券卖出</v>
      </c>
      <c r="D1153" s="4" t="str">
        <f>"600575"</f>
        <v>600575</v>
      </c>
      <c r="E1153" s="4" t="str">
        <f>"皖江物流"</f>
        <v>皖江物流</v>
      </c>
      <c r="F1153" s="4">
        <v>4.02</v>
      </c>
      <c r="G1153" s="4">
        <v>11500</v>
      </c>
      <c r="H1153" s="4">
        <v>46230</v>
      </c>
      <c r="I1153" s="12">
        <v>46168.52</v>
      </c>
      <c r="J1153" s="4">
        <v>24087.62</v>
      </c>
      <c r="K1153" s="4">
        <v>0</v>
      </c>
    </row>
    <row r="1154" spans="1:11">
      <c r="A1154" s="4" t="str">
        <f t="shared" si="762"/>
        <v>20180131</v>
      </c>
      <c r="B1154" s="4" t="str">
        <f t="shared" si="763"/>
        <v>20180131</v>
      </c>
      <c r="C1154" s="4" t="str">
        <f>"证券买入"</f>
        <v>证券买入</v>
      </c>
      <c r="D1154" s="4" t="str">
        <f>"000768"</f>
        <v>000768</v>
      </c>
      <c r="E1154" s="4" t="str">
        <f>"中航飞机"</f>
        <v>中航飞机</v>
      </c>
      <c r="F1154" s="4">
        <v>16.12</v>
      </c>
      <c r="G1154" s="4">
        <v>2000</v>
      </c>
      <c r="H1154" s="4">
        <v>32240</v>
      </c>
      <c r="I1154" s="12">
        <v>-32249.99</v>
      </c>
      <c r="J1154" s="4">
        <v>-8162.37</v>
      </c>
      <c r="K1154" s="4">
        <v>2000</v>
      </c>
    </row>
    <row r="1155" spans="1:11">
      <c r="A1155" s="4" t="str">
        <f t="shared" si="762"/>
        <v>20180131</v>
      </c>
      <c r="B1155" s="4" t="str">
        <f t="shared" si="763"/>
        <v>20180131</v>
      </c>
      <c r="C1155" s="4" t="str">
        <f t="shared" ref="C1155:C1159" si="764">"证券卖出"</f>
        <v>证券卖出</v>
      </c>
      <c r="D1155" s="4" t="str">
        <f>"300463"</f>
        <v>300463</v>
      </c>
      <c r="E1155" s="4" t="str">
        <f>"迈克生物"</f>
        <v>迈克生物</v>
      </c>
      <c r="F1155" s="4">
        <v>21.95</v>
      </c>
      <c r="G1155" s="4">
        <v>500</v>
      </c>
      <c r="H1155" s="4">
        <v>10975</v>
      </c>
      <c r="I1155" s="12">
        <v>10959.02</v>
      </c>
      <c r="J1155" s="4">
        <v>2796.65</v>
      </c>
      <c r="K1155" s="4">
        <v>0</v>
      </c>
    </row>
    <row r="1156" spans="1:11">
      <c r="A1156" s="4" t="str">
        <f t="shared" si="762"/>
        <v>20180131</v>
      </c>
      <c r="B1156" s="4" t="str">
        <f t="shared" si="763"/>
        <v>20180131</v>
      </c>
      <c r="C1156" s="4" t="str">
        <f>"证券买入"</f>
        <v>证券买入</v>
      </c>
      <c r="D1156" s="4" t="str">
        <f>"150153"</f>
        <v>150153</v>
      </c>
      <c r="E1156" s="4" t="str">
        <f>"创业板B"</f>
        <v>创业板B</v>
      </c>
      <c r="F1156" s="4">
        <v>0.606</v>
      </c>
      <c r="G1156" s="4">
        <v>40000</v>
      </c>
      <c r="H1156" s="4">
        <v>24240</v>
      </c>
      <c r="I1156" s="12">
        <v>-24247.51</v>
      </c>
      <c r="J1156" s="4">
        <v>-21450.86</v>
      </c>
      <c r="K1156" s="4">
        <v>40000</v>
      </c>
    </row>
    <row r="1157" spans="1:11">
      <c r="A1157" s="4" t="str">
        <f t="shared" si="762"/>
        <v>20180131</v>
      </c>
      <c r="B1157" s="4" t="str">
        <f t="shared" si="763"/>
        <v>20180131</v>
      </c>
      <c r="C1157" s="4" t="str">
        <f t="shared" si="764"/>
        <v>证券卖出</v>
      </c>
      <c r="D1157" s="4" t="str">
        <f>"000601"</f>
        <v>000601</v>
      </c>
      <c r="E1157" s="4" t="str">
        <f>"韶能股份"</f>
        <v>韶能股份</v>
      </c>
      <c r="F1157" s="4">
        <v>7.16</v>
      </c>
      <c r="G1157" s="4">
        <v>3000</v>
      </c>
      <c r="H1157" s="4">
        <v>21480</v>
      </c>
      <c r="I1157" s="12">
        <v>21451.86</v>
      </c>
      <c r="J1157" s="4">
        <v>1</v>
      </c>
      <c r="K1157" s="4">
        <v>22200</v>
      </c>
    </row>
    <row r="1158" spans="1:11">
      <c r="A1158" s="4" t="str">
        <f>"20180201"</f>
        <v>20180201</v>
      </c>
      <c r="B1158" s="4" t="str">
        <f>"20180201"</f>
        <v>20180201</v>
      </c>
      <c r="C1158" s="4" t="str">
        <f>"基金申购拨出"</f>
        <v>基金申购拨出</v>
      </c>
      <c r="D1158" s="4" t="str">
        <f t="shared" ref="D1158:D1163" si="765">"AA0007"</f>
        <v>AA0007</v>
      </c>
      <c r="E1158" s="4" t="str">
        <f t="shared" ref="E1158:E1163" si="766">"银河水星1号集合"</f>
        <v>银河水星1号集合</v>
      </c>
      <c r="F1158" s="4">
        <v>0</v>
      </c>
      <c r="G1158" s="4">
        <v>0</v>
      </c>
      <c r="H1158" s="4">
        <v>0</v>
      </c>
      <c r="I1158" s="12">
        <v>-23292.76</v>
      </c>
      <c r="J1158" s="4">
        <v>-23291.76</v>
      </c>
      <c r="K1158" s="4">
        <v>0</v>
      </c>
    </row>
    <row r="1159" spans="1:11">
      <c r="A1159" s="4" t="str">
        <f>"20180201"</f>
        <v>20180201</v>
      </c>
      <c r="B1159" s="4" t="str">
        <f>"20180201"</f>
        <v>20180201</v>
      </c>
      <c r="C1159" s="4" t="str">
        <f t="shared" si="764"/>
        <v>证券卖出</v>
      </c>
      <c r="D1159" s="4" t="str">
        <f>"150153"</f>
        <v>150153</v>
      </c>
      <c r="E1159" s="4" t="str">
        <f>"创业板B"</f>
        <v>创业板B</v>
      </c>
      <c r="F1159" s="4">
        <v>0.584</v>
      </c>
      <c r="G1159" s="4">
        <v>40000</v>
      </c>
      <c r="H1159" s="4">
        <v>23360</v>
      </c>
      <c r="I1159" s="12">
        <v>23352.76</v>
      </c>
      <c r="J1159" s="4">
        <v>61</v>
      </c>
      <c r="K1159" s="4">
        <v>0</v>
      </c>
    </row>
    <row r="1160" spans="1:11">
      <c r="A1160" s="4" t="str">
        <f t="shared" ref="A1160:A1162" si="767">"20180202"</f>
        <v>20180202</v>
      </c>
      <c r="B1160" s="4" t="str">
        <f>"0"</f>
        <v>0</v>
      </c>
      <c r="C1160" s="4" t="str">
        <f>"股息红利差异扣税"</f>
        <v>股息红利差异扣税</v>
      </c>
      <c r="D1160" s="4" t="str">
        <f>"000601"</f>
        <v>000601</v>
      </c>
      <c r="E1160" s="4" t="str">
        <f>"韶能股份"</f>
        <v>韶能股份</v>
      </c>
      <c r="F1160" s="4">
        <v>0</v>
      </c>
      <c r="G1160" s="4">
        <v>0</v>
      </c>
      <c r="H1160" s="4">
        <v>0</v>
      </c>
      <c r="I1160" s="12">
        <v>-60</v>
      </c>
      <c r="J1160" s="4">
        <v>1</v>
      </c>
      <c r="K1160" s="4">
        <v>0</v>
      </c>
    </row>
    <row r="1161" spans="1:11">
      <c r="A1161" s="4" t="str">
        <f t="shared" si="767"/>
        <v>20180202</v>
      </c>
      <c r="B1161" s="4" t="str">
        <f>"20180202"</f>
        <v>20180202</v>
      </c>
      <c r="C1161" s="4" t="str">
        <f>"基金申购拨出"</f>
        <v>基金申购拨出</v>
      </c>
      <c r="D1161" s="4" t="str">
        <f t="shared" si="765"/>
        <v>AA0007</v>
      </c>
      <c r="E1161" s="4" t="str">
        <f t="shared" si="766"/>
        <v>银河水星1号集合</v>
      </c>
      <c r="F1161" s="4">
        <v>0</v>
      </c>
      <c r="G1161" s="4">
        <v>0</v>
      </c>
      <c r="H1161" s="4">
        <v>0</v>
      </c>
      <c r="I1161" s="12">
        <v>-30799.6</v>
      </c>
      <c r="J1161" s="4">
        <v>-30798.6</v>
      </c>
      <c r="K1161" s="4">
        <v>0</v>
      </c>
    </row>
    <row r="1162" spans="1:11">
      <c r="A1162" s="4" t="str">
        <f t="shared" si="767"/>
        <v>20180202</v>
      </c>
      <c r="B1162" s="4" t="str">
        <f>"20180202"</f>
        <v>20180202</v>
      </c>
      <c r="C1162" s="4" t="str">
        <f>"证券卖出"</f>
        <v>证券卖出</v>
      </c>
      <c r="D1162" s="4" t="str">
        <f>"000768"</f>
        <v>000768</v>
      </c>
      <c r="E1162" s="4" t="str">
        <f>"中航飞机"</f>
        <v>中航飞机</v>
      </c>
      <c r="F1162" s="4">
        <v>15.42</v>
      </c>
      <c r="G1162" s="4">
        <v>2000</v>
      </c>
      <c r="H1162" s="4">
        <v>30840</v>
      </c>
      <c r="I1162" s="12">
        <v>30799.61</v>
      </c>
      <c r="J1162" s="4">
        <v>1.01</v>
      </c>
      <c r="K1162" s="4">
        <v>0</v>
      </c>
    </row>
    <row r="1163" spans="1:11">
      <c r="A1163" s="4" t="str">
        <f>"20180205"</f>
        <v>20180205</v>
      </c>
      <c r="B1163" s="4" t="str">
        <f>"20180205"</f>
        <v>20180205</v>
      </c>
      <c r="C1163" s="4" t="str">
        <f t="shared" ref="C1163:C1167" si="768">"基金赎回拨入"</f>
        <v>基金赎回拨入</v>
      </c>
      <c r="D1163" s="4" t="str">
        <f t="shared" si="765"/>
        <v>AA0007</v>
      </c>
      <c r="E1163" s="4" t="str">
        <f t="shared" si="766"/>
        <v>银河水星1号集合</v>
      </c>
      <c r="F1163" s="4">
        <v>0</v>
      </c>
      <c r="G1163" s="4">
        <v>10984</v>
      </c>
      <c r="H1163" s="4">
        <v>0</v>
      </c>
      <c r="I1163" s="12">
        <v>10984.99</v>
      </c>
      <c r="J1163" s="4">
        <v>10986</v>
      </c>
      <c r="K1163" s="4">
        <v>0</v>
      </c>
    </row>
    <row r="1164" spans="1:11">
      <c r="A1164" s="4" t="str">
        <f>"20180205"</f>
        <v>20180205</v>
      </c>
      <c r="B1164" s="4" t="str">
        <f>"20180205"</f>
        <v>20180205</v>
      </c>
      <c r="C1164" s="4" t="str">
        <f t="shared" ref="C1164:C1168" si="769">"证券买入"</f>
        <v>证券买入</v>
      </c>
      <c r="D1164" s="4" t="str">
        <f t="shared" ref="D1164:D1169" si="770">"150153"</f>
        <v>150153</v>
      </c>
      <c r="E1164" s="4" t="str">
        <f t="shared" ref="E1164:E1169" si="771">"创业板B"</f>
        <v>创业板B</v>
      </c>
      <c r="F1164" s="4">
        <v>0.549</v>
      </c>
      <c r="G1164" s="4">
        <v>20000</v>
      </c>
      <c r="H1164" s="4">
        <v>10980</v>
      </c>
      <c r="I1164" s="12">
        <v>-10985</v>
      </c>
      <c r="J1164" s="4">
        <v>1</v>
      </c>
      <c r="K1164" s="4">
        <v>20000</v>
      </c>
    </row>
    <row r="1165" spans="1:11">
      <c r="A1165" s="4" t="str">
        <f>"20180206"</f>
        <v>20180206</v>
      </c>
      <c r="B1165" s="4" t="str">
        <f>"20180206"</f>
        <v>20180206</v>
      </c>
      <c r="C1165" s="4" t="str">
        <f t="shared" si="768"/>
        <v>基金赎回拨入</v>
      </c>
      <c r="D1165" s="4" t="str">
        <f>"AA0007"</f>
        <v>AA0007</v>
      </c>
      <c r="E1165" s="4" t="str">
        <f>"银河水星1号集合"</f>
        <v>银河水星1号集合</v>
      </c>
      <c r="F1165" s="4">
        <v>0</v>
      </c>
      <c r="G1165" s="4">
        <v>10065</v>
      </c>
      <c r="H1165" s="4">
        <v>0</v>
      </c>
      <c r="I1165" s="12">
        <v>10065</v>
      </c>
      <c r="J1165" s="4">
        <v>10066</v>
      </c>
      <c r="K1165" s="4">
        <v>0</v>
      </c>
    </row>
    <row r="1166" spans="1:11">
      <c r="A1166" s="4" t="str">
        <f>"20180206"</f>
        <v>20180206</v>
      </c>
      <c r="B1166" s="4" t="str">
        <f>"20180206"</f>
        <v>20180206</v>
      </c>
      <c r="C1166" s="4" t="str">
        <f t="shared" si="769"/>
        <v>证券买入</v>
      </c>
      <c r="D1166" s="4" t="str">
        <f t="shared" si="770"/>
        <v>150153</v>
      </c>
      <c r="E1166" s="4" t="str">
        <f t="shared" si="771"/>
        <v>创业板B</v>
      </c>
      <c r="F1166" s="4">
        <v>0.503</v>
      </c>
      <c r="G1166" s="4">
        <v>20000</v>
      </c>
      <c r="H1166" s="4">
        <v>10060</v>
      </c>
      <c r="I1166" s="12">
        <v>-10065</v>
      </c>
      <c r="J1166" s="4">
        <v>1</v>
      </c>
      <c r="K1166" s="4">
        <v>40000</v>
      </c>
    </row>
    <row r="1167" spans="1:11">
      <c r="A1167" s="4" t="str">
        <f t="shared" ref="A1167:A1172" si="772">"20180207"</f>
        <v>20180207</v>
      </c>
      <c r="B1167" s="4" t="str">
        <f t="shared" ref="B1167:B1172" si="773">"20180207"</f>
        <v>20180207</v>
      </c>
      <c r="C1167" s="4" t="str">
        <f t="shared" si="768"/>
        <v>基金赎回拨入</v>
      </c>
      <c r="D1167" s="4" t="str">
        <f>"AA0007"</f>
        <v>AA0007</v>
      </c>
      <c r="E1167" s="4" t="str">
        <f>"银河水星1号集合"</f>
        <v>银河水星1号集合</v>
      </c>
      <c r="F1167" s="4">
        <v>0</v>
      </c>
      <c r="G1167" s="4">
        <v>24880</v>
      </c>
      <c r="H1167" s="4">
        <v>0</v>
      </c>
      <c r="I1167" s="12">
        <v>24880.47</v>
      </c>
      <c r="J1167" s="4">
        <v>24881.47</v>
      </c>
      <c r="K1167" s="4">
        <v>0</v>
      </c>
    </row>
    <row r="1168" spans="1:11">
      <c r="A1168" s="4" t="str">
        <f t="shared" si="772"/>
        <v>20180207</v>
      </c>
      <c r="B1168" s="4" t="str">
        <f t="shared" si="773"/>
        <v>20180207</v>
      </c>
      <c r="C1168" s="4" t="str">
        <f t="shared" si="769"/>
        <v>证券买入</v>
      </c>
      <c r="D1168" s="4" t="str">
        <f t="shared" si="770"/>
        <v>150153</v>
      </c>
      <c r="E1168" s="4" t="str">
        <f t="shared" si="771"/>
        <v>创业板B</v>
      </c>
      <c r="F1168" s="4">
        <v>0.486</v>
      </c>
      <c r="G1168" s="4">
        <v>20000</v>
      </c>
      <c r="H1168" s="4">
        <v>9720</v>
      </c>
      <c r="I1168" s="12">
        <v>-9725</v>
      </c>
      <c r="J1168" s="4">
        <v>15156.47</v>
      </c>
      <c r="K1168" s="4">
        <v>60000</v>
      </c>
    </row>
    <row r="1169" spans="1:11">
      <c r="A1169" s="4" t="str">
        <f t="shared" si="772"/>
        <v>20180207</v>
      </c>
      <c r="B1169" s="4" t="str">
        <f t="shared" si="773"/>
        <v>20180207</v>
      </c>
      <c r="C1169" s="4" t="str">
        <f>"证券卖出"</f>
        <v>证券卖出</v>
      </c>
      <c r="D1169" s="4" t="str">
        <f t="shared" si="770"/>
        <v>150153</v>
      </c>
      <c r="E1169" s="4" t="str">
        <f t="shared" si="771"/>
        <v>创业板B</v>
      </c>
      <c r="F1169" s="4">
        <v>0.441</v>
      </c>
      <c r="G1169" s="4">
        <v>40000</v>
      </c>
      <c r="H1169" s="4">
        <v>17640</v>
      </c>
      <c r="I1169" s="12">
        <v>17634.53</v>
      </c>
      <c r="J1169" s="4">
        <v>32791</v>
      </c>
      <c r="K1169" s="4">
        <v>20000</v>
      </c>
    </row>
    <row r="1170" spans="1:11">
      <c r="A1170" s="4" t="str">
        <f t="shared" si="772"/>
        <v>20180207</v>
      </c>
      <c r="B1170" s="4" t="str">
        <f t="shared" si="773"/>
        <v>20180207</v>
      </c>
      <c r="C1170" s="4" t="str">
        <f t="shared" ref="C1170:C1172" si="774">"证券买入"</f>
        <v>证券买入</v>
      </c>
      <c r="D1170" s="4" t="str">
        <f>"000768"</f>
        <v>000768</v>
      </c>
      <c r="E1170" s="4" t="str">
        <f>"中航飞机"</f>
        <v>中航飞机</v>
      </c>
      <c r="F1170" s="4">
        <v>13.48</v>
      </c>
      <c r="G1170" s="4">
        <v>1000</v>
      </c>
      <c r="H1170" s="4">
        <v>13480</v>
      </c>
      <c r="I1170" s="12">
        <v>-13485</v>
      </c>
      <c r="J1170" s="4">
        <v>19306</v>
      </c>
      <c r="K1170" s="4">
        <v>1000</v>
      </c>
    </row>
    <row r="1171" spans="1:11">
      <c r="A1171" s="4" t="str">
        <f t="shared" si="772"/>
        <v>20180207</v>
      </c>
      <c r="B1171" s="4" t="str">
        <f t="shared" si="773"/>
        <v>20180207</v>
      </c>
      <c r="C1171" s="4" t="str">
        <f t="shared" si="774"/>
        <v>证券买入</v>
      </c>
      <c r="D1171" s="4" t="str">
        <f>"000601"</f>
        <v>000601</v>
      </c>
      <c r="E1171" s="4" t="str">
        <f>"韶能股份"</f>
        <v>韶能股份</v>
      </c>
      <c r="F1171" s="4">
        <v>6.67</v>
      </c>
      <c r="G1171" s="4">
        <v>1500</v>
      </c>
      <c r="H1171" s="4">
        <v>10005</v>
      </c>
      <c r="I1171" s="12">
        <v>-10010</v>
      </c>
      <c r="J1171" s="4">
        <v>9296</v>
      </c>
      <c r="K1171" s="4">
        <v>23700</v>
      </c>
    </row>
    <row r="1172" spans="1:11">
      <c r="A1172" s="4" t="str">
        <f t="shared" si="772"/>
        <v>20180207</v>
      </c>
      <c r="B1172" s="4" t="str">
        <f t="shared" si="773"/>
        <v>20180207</v>
      </c>
      <c r="C1172" s="4" t="str">
        <f t="shared" si="774"/>
        <v>证券买入</v>
      </c>
      <c r="D1172" s="4" t="str">
        <f>"150153"</f>
        <v>150153</v>
      </c>
      <c r="E1172" s="4" t="str">
        <f>"创业板B"</f>
        <v>创业板B</v>
      </c>
      <c r="F1172" s="4">
        <v>0.465</v>
      </c>
      <c r="G1172" s="4">
        <v>20000</v>
      </c>
      <c r="H1172" s="4">
        <v>9290</v>
      </c>
      <c r="I1172" s="12">
        <v>-9295</v>
      </c>
      <c r="J1172" s="4">
        <v>1</v>
      </c>
      <c r="K1172" s="4">
        <v>40000</v>
      </c>
    </row>
    <row r="1173" spans="1:11">
      <c r="A1173" s="4" t="str">
        <f t="shared" ref="A1173:A1179" si="775">"20180208"</f>
        <v>20180208</v>
      </c>
      <c r="B1173" s="4" t="str">
        <f t="shared" ref="B1173:B1179" si="776">"20180208"</f>
        <v>20180208</v>
      </c>
      <c r="C1173" s="4" t="str">
        <f>"基金赎回拨入"</f>
        <v>基金赎回拨入</v>
      </c>
      <c r="D1173" s="4" t="str">
        <f>"AA0007"</f>
        <v>AA0007</v>
      </c>
      <c r="E1173" s="4" t="str">
        <f>"银河水星1号集合"</f>
        <v>银河水星1号集合</v>
      </c>
      <c r="F1173" s="4">
        <v>0</v>
      </c>
      <c r="G1173" s="4">
        <v>35648</v>
      </c>
      <c r="H1173" s="4">
        <v>0</v>
      </c>
      <c r="I1173" s="12">
        <v>35648.46</v>
      </c>
      <c r="J1173" s="4">
        <v>35649.46</v>
      </c>
      <c r="K1173" s="4">
        <v>0</v>
      </c>
    </row>
    <row r="1174" spans="1:11">
      <c r="A1174" s="4" t="str">
        <f t="shared" si="775"/>
        <v>20180208</v>
      </c>
      <c r="B1174" s="4" t="str">
        <f t="shared" si="776"/>
        <v>20180208</v>
      </c>
      <c r="C1174" s="4" t="str">
        <f t="shared" ref="C1174:C1176" si="777">"证券买入"</f>
        <v>证券买入</v>
      </c>
      <c r="D1174" s="4" t="str">
        <f>"159949"</f>
        <v>159949</v>
      </c>
      <c r="E1174" s="4" t="str">
        <f>"创业板50"</f>
        <v>创业板50</v>
      </c>
      <c r="F1174" s="4">
        <v>0.617</v>
      </c>
      <c r="G1174" s="4">
        <v>20000</v>
      </c>
      <c r="H1174" s="4">
        <v>12340</v>
      </c>
      <c r="I1174" s="12">
        <v>-12345</v>
      </c>
      <c r="J1174" s="4">
        <v>23304.46</v>
      </c>
      <c r="K1174" s="4">
        <v>20000</v>
      </c>
    </row>
    <row r="1175" spans="1:11">
      <c r="A1175" s="4" t="str">
        <f t="shared" si="775"/>
        <v>20180208</v>
      </c>
      <c r="B1175" s="4" t="str">
        <f t="shared" si="776"/>
        <v>20180208</v>
      </c>
      <c r="C1175" s="4" t="str">
        <f t="shared" si="777"/>
        <v>证券买入</v>
      </c>
      <c r="D1175" s="4" t="str">
        <f>"150153"</f>
        <v>150153</v>
      </c>
      <c r="E1175" s="4" t="str">
        <f>"创业板B"</f>
        <v>创业板B</v>
      </c>
      <c r="F1175" s="4">
        <v>0.451</v>
      </c>
      <c r="G1175" s="4">
        <v>20000</v>
      </c>
      <c r="H1175" s="4">
        <v>9020</v>
      </c>
      <c r="I1175" s="12">
        <v>-9025</v>
      </c>
      <c r="J1175" s="4">
        <v>14279.46</v>
      </c>
      <c r="K1175" s="4">
        <v>60000</v>
      </c>
    </row>
    <row r="1176" spans="1:11">
      <c r="A1176" s="4" t="str">
        <f t="shared" si="775"/>
        <v>20180208</v>
      </c>
      <c r="B1176" s="4" t="str">
        <f t="shared" si="776"/>
        <v>20180208</v>
      </c>
      <c r="C1176" s="4" t="str">
        <f t="shared" si="777"/>
        <v>证券买入</v>
      </c>
      <c r="D1176" s="4" t="str">
        <f>"150182"</f>
        <v>150182</v>
      </c>
      <c r="E1176" s="4" t="str">
        <f>"军工B"</f>
        <v>军工B</v>
      </c>
      <c r="F1176" s="4">
        <v>0.504</v>
      </c>
      <c r="G1176" s="4">
        <v>20000</v>
      </c>
      <c r="H1176" s="4">
        <v>10080</v>
      </c>
      <c r="I1176" s="12">
        <v>-10085</v>
      </c>
      <c r="J1176" s="4">
        <v>4194.46</v>
      </c>
      <c r="K1176" s="4">
        <v>20000</v>
      </c>
    </row>
    <row r="1177" spans="1:11">
      <c r="A1177" s="4" t="str">
        <f t="shared" si="775"/>
        <v>20180208</v>
      </c>
      <c r="B1177" s="4" t="str">
        <f t="shared" si="776"/>
        <v>20180208</v>
      </c>
      <c r="C1177" s="4" t="str">
        <f t="shared" ref="C1177:C1184" si="778">"证券卖出"</f>
        <v>证券卖出</v>
      </c>
      <c r="D1177" s="4" t="str">
        <f t="shared" ref="D1177:D1181" si="779">"000768"</f>
        <v>000768</v>
      </c>
      <c r="E1177" s="4" t="str">
        <f t="shared" ref="E1177:E1181" si="780">"中航飞机"</f>
        <v>中航飞机</v>
      </c>
      <c r="F1177" s="4">
        <v>13.46</v>
      </c>
      <c r="G1177" s="4">
        <v>1000</v>
      </c>
      <c r="H1177" s="4">
        <v>13460</v>
      </c>
      <c r="I1177" s="12">
        <v>13441.54</v>
      </c>
      <c r="J1177" s="4">
        <v>17636</v>
      </c>
      <c r="K1177" s="4">
        <v>0</v>
      </c>
    </row>
    <row r="1178" spans="1:11">
      <c r="A1178" s="4" t="str">
        <f t="shared" si="775"/>
        <v>20180208</v>
      </c>
      <c r="B1178" s="4" t="str">
        <f t="shared" si="776"/>
        <v>20180208</v>
      </c>
      <c r="C1178" s="4" t="str">
        <f t="shared" si="778"/>
        <v>证券卖出</v>
      </c>
      <c r="D1178" s="4" t="str">
        <f>"150153"</f>
        <v>150153</v>
      </c>
      <c r="E1178" s="4" t="str">
        <f>"创业板B"</f>
        <v>创业板B</v>
      </c>
      <c r="F1178" s="4">
        <v>0.458</v>
      </c>
      <c r="G1178" s="4">
        <v>20000</v>
      </c>
      <c r="H1178" s="4">
        <v>9160</v>
      </c>
      <c r="I1178" s="12">
        <v>9155</v>
      </c>
      <c r="J1178" s="4">
        <v>26791</v>
      </c>
      <c r="K1178" s="4">
        <v>40000</v>
      </c>
    </row>
    <row r="1179" spans="1:11">
      <c r="A1179" s="4" t="str">
        <f t="shared" si="775"/>
        <v>20180208</v>
      </c>
      <c r="B1179" s="4" t="str">
        <f t="shared" si="776"/>
        <v>20180208</v>
      </c>
      <c r="C1179" s="4" t="str">
        <f>"证券买入"</f>
        <v>证券买入</v>
      </c>
      <c r="D1179" s="4" t="str">
        <f t="shared" si="779"/>
        <v>000768</v>
      </c>
      <c r="E1179" s="4" t="str">
        <f t="shared" si="780"/>
        <v>中航飞机</v>
      </c>
      <c r="F1179" s="4">
        <v>13.42</v>
      </c>
      <c r="G1179" s="4">
        <v>1000</v>
      </c>
      <c r="H1179" s="4">
        <v>13420</v>
      </c>
      <c r="I1179" s="12">
        <v>-13425</v>
      </c>
      <c r="J1179" s="4">
        <v>13366</v>
      </c>
      <c r="K1179" s="4">
        <v>1000</v>
      </c>
    </row>
    <row r="1180" spans="1:11">
      <c r="A1180" s="4" t="str">
        <f t="shared" ref="A1180:A1185" si="781">"20180209"</f>
        <v>20180209</v>
      </c>
      <c r="B1180" s="4" t="str">
        <f t="shared" ref="B1180:B1185" si="782">"20180209"</f>
        <v>20180209</v>
      </c>
      <c r="C1180" s="4" t="str">
        <f>"基金申购拨出"</f>
        <v>基金申购拨出</v>
      </c>
      <c r="D1180" s="4" t="str">
        <f>"AA0007"</f>
        <v>AA0007</v>
      </c>
      <c r="E1180" s="4" t="str">
        <f>"银河水星1号集合"</f>
        <v>银河水星1号集合</v>
      </c>
      <c r="F1180" s="4">
        <v>0</v>
      </c>
      <c r="G1180" s="4">
        <v>0</v>
      </c>
      <c r="H1180" s="4">
        <v>0</v>
      </c>
      <c r="I1180" s="12">
        <v>-21306.79</v>
      </c>
      <c r="J1180" s="4">
        <v>-7940.79</v>
      </c>
      <c r="K1180" s="4">
        <v>0</v>
      </c>
    </row>
    <row r="1181" spans="1:11">
      <c r="A1181" s="4" t="str">
        <f t="shared" si="781"/>
        <v>20180209</v>
      </c>
      <c r="B1181" s="4" t="str">
        <f t="shared" si="782"/>
        <v>20180209</v>
      </c>
      <c r="C1181" s="4" t="str">
        <f>"证券买入"</f>
        <v>证券买入</v>
      </c>
      <c r="D1181" s="4" t="str">
        <f t="shared" si="779"/>
        <v>000768</v>
      </c>
      <c r="E1181" s="4" t="str">
        <f t="shared" si="780"/>
        <v>中航飞机</v>
      </c>
      <c r="F1181" s="4">
        <v>13.14</v>
      </c>
      <c r="G1181" s="4">
        <v>1000</v>
      </c>
      <c r="H1181" s="4">
        <v>13140</v>
      </c>
      <c r="I1181" s="12">
        <v>-13145</v>
      </c>
      <c r="J1181" s="4">
        <v>-21085.79</v>
      </c>
      <c r="K1181" s="4">
        <v>2000</v>
      </c>
    </row>
    <row r="1182" spans="1:11">
      <c r="A1182" s="4" t="str">
        <f t="shared" si="781"/>
        <v>20180209</v>
      </c>
      <c r="B1182" s="4" t="str">
        <f t="shared" si="782"/>
        <v>20180209</v>
      </c>
      <c r="C1182" s="4" t="str">
        <f t="shared" si="778"/>
        <v>证券卖出</v>
      </c>
      <c r="D1182" s="4" t="str">
        <f>"159949"</f>
        <v>159949</v>
      </c>
      <c r="E1182" s="4" t="str">
        <f>"创业板50"</f>
        <v>创业板50</v>
      </c>
      <c r="F1182" s="4">
        <v>0.612</v>
      </c>
      <c r="G1182" s="4">
        <v>20000</v>
      </c>
      <c r="H1182" s="4">
        <v>12240</v>
      </c>
      <c r="I1182" s="12">
        <v>12235</v>
      </c>
      <c r="J1182" s="4">
        <v>-8850.79</v>
      </c>
      <c r="K1182" s="4">
        <v>0</v>
      </c>
    </row>
    <row r="1183" spans="1:11">
      <c r="A1183" s="4" t="str">
        <f t="shared" si="781"/>
        <v>20180209</v>
      </c>
      <c r="B1183" s="4" t="str">
        <f t="shared" si="782"/>
        <v>20180209</v>
      </c>
      <c r="C1183" s="4" t="str">
        <f t="shared" si="778"/>
        <v>证券卖出</v>
      </c>
      <c r="D1183" s="4" t="str">
        <f>"000768"</f>
        <v>000768</v>
      </c>
      <c r="E1183" s="4" t="str">
        <f>"中航飞机"</f>
        <v>中航飞机</v>
      </c>
      <c r="F1183" s="4">
        <v>12.94</v>
      </c>
      <c r="G1183" s="4">
        <v>1000</v>
      </c>
      <c r="H1183" s="4">
        <v>12940</v>
      </c>
      <c r="I1183" s="12">
        <v>12922.06</v>
      </c>
      <c r="J1183" s="4">
        <v>4071.27</v>
      </c>
      <c r="K1183" s="4">
        <v>1000</v>
      </c>
    </row>
    <row r="1184" spans="1:11">
      <c r="A1184" s="4" t="str">
        <f t="shared" si="781"/>
        <v>20180209</v>
      </c>
      <c r="B1184" s="4" t="str">
        <f t="shared" si="782"/>
        <v>20180209</v>
      </c>
      <c r="C1184" s="4" t="str">
        <f t="shared" si="778"/>
        <v>证券卖出</v>
      </c>
      <c r="D1184" s="4" t="str">
        <f>"150182"</f>
        <v>150182</v>
      </c>
      <c r="E1184" s="4" t="str">
        <f>"军工B"</f>
        <v>军工B</v>
      </c>
      <c r="F1184" s="4">
        <v>0.461</v>
      </c>
      <c r="G1184" s="4">
        <v>20000</v>
      </c>
      <c r="H1184" s="4">
        <v>9220</v>
      </c>
      <c r="I1184" s="12">
        <v>9215</v>
      </c>
      <c r="J1184" s="4">
        <v>13286.27</v>
      </c>
      <c r="K1184" s="4">
        <v>0</v>
      </c>
    </row>
    <row r="1185" spans="1:11">
      <c r="A1185" s="4" t="str">
        <f t="shared" si="781"/>
        <v>20180209</v>
      </c>
      <c r="B1185" s="4" t="str">
        <f t="shared" si="782"/>
        <v>20180209</v>
      </c>
      <c r="C1185" s="4" t="str">
        <f>"证券买入"</f>
        <v>证券买入</v>
      </c>
      <c r="D1185" s="4" t="str">
        <f>"600886"</f>
        <v>600886</v>
      </c>
      <c r="E1185" s="4" t="str">
        <f>"国投电力"</f>
        <v>国投电力</v>
      </c>
      <c r="F1185" s="4">
        <v>6.64</v>
      </c>
      <c r="G1185" s="4">
        <v>2000</v>
      </c>
      <c r="H1185" s="4">
        <v>13280</v>
      </c>
      <c r="I1185" s="12">
        <v>-13285.27</v>
      </c>
      <c r="J1185" s="4">
        <v>1</v>
      </c>
      <c r="K1185" s="4">
        <v>2000</v>
      </c>
    </row>
    <row r="1186" spans="1:11">
      <c r="A1186" s="4" t="str">
        <f>"20180212"</f>
        <v>20180212</v>
      </c>
      <c r="B1186" s="4" t="str">
        <f>"20180212"</f>
        <v>20180212</v>
      </c>
      <c r="C1186" s="4" t="str">
        <f>"基金赎回拨入"</f>
        <v>基金赎回拨入</v>
      </c>
      <c r="D1186" s="4" t="str">
        <f t="shared" ref="D1186:D1191" si="783">"AA0007"</f>
        <v>AA0007</v>
      </c>
      <c r="E1186" s="4" t="str">
        <f t="shared" ref="E1186:E1191" si="784">"银河水星1号集合"</f>
        <v>银河水星1号集合</v>
      </c>
      <c r="F1186" s="4">
        <v>0</v>
      </c>
      <c r="G1186" s="4">
        <v>8645</v>
      </c>
      <c r="H1186" s="4">
        <v>0</v>
      </c>
      <c r="I1186" s="12">
        <v>8645</v>
      </c>
      <c r="J1186" s="4">
        <v>8646</v>
      </c>
      <c r="K1186" s="4">
        <v>0</v>
      </c>
    </row>
    <row r="1187" spans="1:11">
      <c r="A1187" s="4" t="str">
        <f>"20180212"</f>
        <v>20180212</v>
      </c>
      <c r="B1187" s="4" t="str">
        <f>"20180212"</f>
        <v>20180212</v>
      </c>
      <c r="C1187" s="4" t="str">
        <f>"证券买入"</f>
        <v>证券买入</v>
      </c>
      <c r="D1187" s="4" t="str">
        <f>"150153"</f>
        <v>150153</v>
      </c>
      <c r="E1187" s="4" t="str">
        <f>"创业板B"</f>
        <v>创业板B</v>
      </c>
      <c r="F1187" s="4">
        <v>0.432</v>
      </c>
      <c r="G1187" s="4">
        <v>20000</v>
      </c>
      <c r="H1187" s="4">
        <v>8640</v>
      </c>
      <c r="I1187" s="12">
        <v>-8645</v>
      </c>
      <c r="J1187" s="4">
        <v>1</v>
      </c>
      <c r="K1187" s="4">
        <v>60000</v>
      </c>
    </row>
    <row r="1188" spans="1:11">
      <c r="A1188" s="4" t="str">
        <f t="shared" ref="A1188:A1195" si="785">"20180213"</f>
        <v>20180213</v>
      </c>
      <c r="B1188" s="4" t="str">
        <f t="shared" ref="B1188:B1195" si="786">"20180213"</f>
        <v>20180213</v>
      </c>
      <c r="C1188" s="4" t="str">
        <f>"资管计划实时取现"</f>
        <v>资管计划实时取现</v>
      </c>
      <c r="D1188" s="4" t="str">
        <f>"119931"</f>
        <v>119931</v>
      </c>
      <c r="E1188" s="4" t="str">
        <f>"水星1号"</f>
        <v>水星1号</v>
      </c>
      <c r="F1188" s="4">
        <v>0</v>
      </c>
      <c r="G1188" s="4">
        <v>0</v>
      </c>
      <c r="H1188" s="4">
        <v>40000</v>
      </c>
      <c r="I1188" s="12">
        <v>40000</v>
      </c>
      <c r="J1188" s="4">
        <v>40001</v>
      </c>
      <c r="K1188" s="4">
        <v>0</v>
      </c>
    </row>
    <row r="1189" spans="1:11">
      <c r="A1189" s="4" t="str">
        <f t="shared" si="785"/>
        <v>20180213</v>
      </c>
      <c r="B1189" s="4" t="str">
        <f t="shared" si="786"/>
        <v>20180213</v>
      </c>
      <c r="C1189" s="4" t="str">
        <f>"证券转银行"</f>
        <v>证券转银行</v>
      </c>
      <c r="D1189" s="4"/>
      <c r="E1189" s="4"/>
      <c r="F1189" s="4">
        <v>0</v>
      </c>
      <c r="G1189" s="4">
        <v>0</v>
      </c>
      <c r="H1189" s="4">
        <v>0</v>
      </c>
      <c r="I1189" s="12">
        <v>-40000</v>
      </c>
      <c r="J1189" s="4">
        <v>1</v>
      </c>
      <c r="K1189" s="4">
        <v>0</v>
      </c>
    </row>
    <row r="1190" spans="1:11">
      <c r="A1190" s="4" t="str">
        <f t="shared" si="785"/>
        <v>20180213</v>
      </c>
      <c r="B1190" s="4" t="str">
        <f t="shared" si="786"/>
        <v>20180213</v>
      </c>
      <c r="C1190" s="4" t="str">
        <f>"资管T0取现拨入"</f>
        <v>资管T0取现拨入</v>
      </c>
      <c r="D1190" s="4" t="str">
        <f t="shared" si="783"/>
        <v>AA0007</v>
      </c>
      <c r="E1190" s="4" t="str">
        <f t="shared" si="784"/>
        <v>银河水星1号集合</v>
      </c>
      <c r="F1190" s="4">
        <v>0</v>
      </c>
      <c r="G1190" s="4">
        <v>40000</v>
      </c>
      <c r="H1190" s="4">
        <v>40000</v>
      </c>
      <c r="I1190" s="12">
        <v>40000</v>
      </c>
      <c r="J1190" s="4">
        <v>40001</v>
      </c>
      <c r="K1190" s="4">
        <v>0</v>
      </c>
    </row>
    <row r="1191" spans="1:11">
      <c r="A1191" s="4" t="str">
        <f t="shared" si="785"/>
        <v>20180213</v>
      </c>
      <c r="B1191" s="4" t="str">
        <f t="shared" si="786"/>
        <v>20180213</v>
      </c>
      <c r="C1191" s="4" t="str">
        <f>"基金申购拨出"</f>
        <v>基金申购拨出</v>
      </c>
      <c r="D1191" s="4" t="str">
        <f t="shared" si="783"/>
        <v>AA0007</v>
      </c>
      <c r="E1191" s="4" t="str">
        <f t="shared" si="784"/>
        <v>银河水星1号集合</v>
      </c>
      <c r="F1191" s="4">
        <v>0</v>
      </c>
      <c r="G1191" s="4">
        <v>0</v>
      </c>
      <c r="H1191" s="4">
        <v>0</v>
      </c>
      <c r="I1191" s="12">
        <v>-35821.96</v>
      </c>
      <c r="J1191" s="4">
        <v>4179.04</v>
      </c>
      <c r="K1191" s="4">
        <v>0</v>
      </c>
    </row>
    <row r="1192" spans="1:11">
      <c r="A1192" s="4" t="str">
        <f t="shared" si="785"/>
        <v>20180213</v>
      </c>
      <c r="B1192" s="4" t="str">
        <f t="shared" si="786"/>
        <v>20180213</v>
      </c>
      <c r="C1192" s="4" t="str">
        <f t="shared" ref="C1192:C1197" si="787">"证券卖出"</f>
        <v>证券卖出</v>
      </c>
      <c r="D1192" s="4" t="str">
        <f>"150153"</f>
        <v>150153</v>
      </c>
      <c r="E1192" s="4" t="str">
        <f>"创业板B"</f>
        <v>创业板B</v>
      </c>
      <c r="F1192" s="4">
        <v>0.461</v>
      </c>
      <c r="G1192" s="4">
        <v>20000</v>
      </c>
      <c r="H1192" s="4">
        <v>9220</v>
      </c>
      <c r="I1192" s="12">
        <v>9215</v>
      </c>
      <c r="J1192" s="4">
        <v>13394.04</v>
      </c>
      <c r="K1192" s="4">
        <v>40000</v>
      </c>
    </row>
    <row r="1193" spans="1:11">
      <c r="A1193" s="4" t="str">
        <f t="shared" si="785"/>
        <v>20180213</v>
      </c>
      <c r="B1193" s="4" t="str">
        <f t="shared" si="786"/>
        <v>20180213</v>
      </c>
      <c r="C1193" s="4" t="str">
        <f t="shared" si="787"/>
        <v>证券卖出</v>
      </c>
      <c r="D1193" s="4" t="str">
        <f>"603506"</f>
        <v>603506</v>
      </c>
      <c r="E1193" s="4" t="str">
        <f>"南都物业"</f>
        <v>南都物业</v>
      </c>
      <c r="F1193" s="4">
        <v>36.12</v>
      </c>
      <c r="G1193" s="4">
        <v>1000</v>
      </c>
      <c r="H1193" s="4">
        <v>36120</v>
      </c>
      <c r="I1193" s="12">
        <v>36071.96</v>
      </c>
      <c r="J1193" s="4">
        <v>49466</v>
      </c>
      <c r="K1193" s="4">
        <v>0</v>
      </c>
    </row>
    <row r="1194" spans="1:11">
      <c r="A1194" s="4" t="str">
        <f t="shared" si="785"/>
        <v>20180213</v>
      </c>
      <c r="B1194" s="4" t="str">
        <f t="shared" si="786"/>
        <v>20180213</v>
      </c>
      <c r="C1194" s="4" t="str">
        <f>"资管计划实时取现"</f>
        <v>资管计划实时取现</v>
      </c>
      <c r="D1194" s="4" t="str">
        <f>"119931"</f>
        <v>119931</v>
      </c>
      <c r="E1194" s="4" t="str">
        <f>"水星1号"</f>
        <v>水星1号</v>
      </c>
      <c r="F1194" s="4">
        <v>0</v>
      </c>
      <c r="G1194" s="4">
        <v>0</v>
      </c>
      <c r="H1194" s="4">
        <v>0</v>
      </c>
      <c r="I1194" s="12">
        <v>-40000</v>
      </c>
      <c r="J1194" s="4">
        <v>9466</v>
      </c>
      <c r="K1194" s="4">
        <v>0</v>
      </c>
    </row>
    <row r="1195" spans="1:11">
      <c r="A1195" s="4" t="str">
        <f t="shared" si="785"/>
        <v>20180213</v>
      </c>
      <c r="B1195" s="4" t="str">
        <f t="shared" si="786"/>
        <v>20180213</v>
      </c>
      <c r="C1195" s="4" t="str">
        <f t="shared" ref="C1195:C1199" si="788">"证券买入"</f>
        <v>证券买入</v>
      </c>
      <c r="D1195" s="4" t="str">
        <f>"150182"</f>
        <v>150182</v>
      </c>
      <c r="E1195" s="4" t="str">
        <f>"军工B"</f>
        <v>军工B</v>
      </c>
      <c r="F1195" s="4">
        <v>0.473</v>
      </c>
      <c r="G1195" s="4">
        <v>20000</v>
      </c>
      <c r="H1195" s="4">
        <v>9460</v>
      </c>
      <c r="I1195" s="12">
        <v>-9465</v>
      </c>
      <c r="J1195" s="4">
        <v>1</v>
      </c>
      <c r="K1195" s="4">
        <v>20000</v>
      </c>
    </row>
    <row r="1196" spans="1:11">
      <c r="A1196" s="4" t="str">
        <f t="shared" ref="A1196:A1199" si="789">"20180214"</f>
        <v>20180214</v>
      </c>
      <c r="B1196" s="4" t="str">
        <f t="shared" ref="B1196:B1199" si="790">"20180214"</f>
        <v>20180214</v>
      </c>
      <c r="C1196" s="4" t="str">
        <f>"基金赎回拨入"</f>
        <v>基金赎回拨入</v>
      </c>
      <c r="D1196" s="4" t="str">
        <f>"AA0007"</f>
        <v>AA0007</v>
      </c>
      <c r="E1196" s="4" t="str">
        <f>"银河水星1号集合"</f>
        <v>银河水星1号集合</v>
      </c>
      <c r="F1196" s="4">
        <v>0</v>
      </c>
      <c r="G1196" s="4">
        <v>15705</v>
      </c>
      <c r="H1196" s="4">
        <v>0</v>
      </c>
      <c r="I1196" s="12">
        <v>15705</v>
      </c>
      <c r="J1196" s="4">
        <v>15706</v>
      </c>
      <c r="K1196" s="4">
        <v>0</v>
      </c>
    </row>
    <row r="1197" spans="1:11">
      <c r="A1197" s="4" t="str">
        <f t="shared" si="789"/>
        <v>20180214</v>
      </c>
      <c r="B1197" s="4" t="str">
        <f t="shared" si="790"/>
        <v>20180214</v>
      </c>
      <c r="C1197" s="4" t="str">
        <f t="shared" si="787"/>
        <v>证券卖出</v>
      </c>
      <c r="D1197" s="4" t="str">
        <f>"150182"</f>
        <v>150182</v>
      </c>
      <c r="E1197" s="4" t="str">
        <f>"军工B"</f>
        <v>军工B</v>
      </c>
      <c r="F1197" s="4">
        <v>0.464</v>
      </c>
      <c r="G1197" s="4">
        <v>20000</v>
      </c>
      <c r="H1197" s="4">
        <v>9280</v>
      </c>
      <c r="I1197" s="12">
        <v>9275</v>
      </c>
      <c r="J1197" s="4">
        <v>24981</v>
      </c>
      <c r="K1197" s="4">
        <v>0</v>
      </c>
    </row>
    <row r="1198" spans="1:11">
      <c r="A1198" s="4" t="str">
        <f t="shared" si="789"/>
        <v>20180214</v>
      </c>
      <c r="B1198" s="4" t="str">
        <f t="shared" si="790"/>
        <v>20180214</v>
      </c>
      <c r="C1198" s="4" t="str">
        <f t="shared" si="788"/>
        <v>证券买入</v>
      </c>
      <c r="D1198" s="4" t="str">
        <f>"000768"</f>
        <v>000768</v>
      </c>
      <c r="E1198" s="4" t="str">
        <f>"中航飞机"</f>
        <v>中航飞机</v>
      </c>
      <c r="F1198" s="4">
        <v>13.25</v>
      </c>
      <c r="G1198" s="4">
        <v>1000</v>
      </c>
      <c r="H1198" s="4">
        <v>13250</v>
      </c>
      <c r="I1198" s="12">
        <v>-13255</v>
      </c>
      <c r="J1198" s="4">
        <v>11726</v>
      </c>
      <c r="K1198" s="4">
        <v>2000</v>
      </c>
    </row>
    <row r="1199" spans="1:11">
      <c r="A1199" s="4" t="str">
        <f t="shared" si="789"/>
        <v>20180214</v>
      </c>
      <c r="B1199" s="4" t="str">
        <f t="shared" si="790"/>
        <v>20180214</v>
      </c>
      <c r="C1199" s="4" t="str">
        <f t="shared" si="788"/>
        <v>证券买入</v>
      </c>
      <c r="D1199" s="4" t="str">
        <f>"002015"</f>
        <v>002015</v>
      </c>
      <c r="E1199" s="4" t="str">
        <f>"霞客环保"</f>
        <v>霞客环保</v>
      </c>
      <c r="F1199" s="4">
        <v>5.86</v>
      </c>
      <c r="G1199" s="4">
        <v>2000</v>
      </c>
      <c r="H1199" s="4">
        <v>11720</v>
      </c>
      <c r="I1199" s="12">
        <v>-11725</v>
      </c>
      <c r="J1199" s="4">
        <v>1</v>
      </c>
      <c r="K1199" s="4">
        <v>2000</v>
      </c>
    </row>
    <row r="1200" spans="1:11">
      <c r="A1200" s="4" t="str">
        <f t="shared" ref="A1200:A1202" si="791">"20180222"</f>
        <v>20180222</v>
      </c>
      <c r="B1200" s="4" t="str">
        <f t="shared" ref="B1200:B1202" si="792">"20180222"</f>
        <v>20180222</v>
      </c>
      <c r="C1200" s="4" t="str">
        <f>"基金赎回拨入"</f>
        <v>基金赎回拨入</v>
      </c>
      <c r="D1200" s="4" t="str">
        <f>"AA0007"</f>
        <v>AA0007</v>
      </c>
      <c r="E1200" s="4" t="str">
        <f>"银河水星1号集合"</f>
        <v>银河水星1号集合</v>
      </c>
      <c r="F1200" s="4">
        <v>0</v>
      </c>
      <c r="G1200" s="4">
        <v>1601</v>
      </c>
      <c r="H1200" s="4">
        <v>0</v>
      </c>
      <c r="I1200" s="12">
        <v>1601.88</v>
      </c>
      <c r="J1200" s="4">
        <v>1602.88</v>
      </c>
      <c r="K1200" s="4">
        <v>0</v>
      </c>
    </row>
    <row r="1201" spans="1:11">
      <c r="A1201" s="4" t="str">
        <f t="shared" si="791"/>
        <v>20180222</v>
      </c>
      <c r="B1201" s="4" t="str">
        <f t="shared" si="792"/>
        <v>20180222</v>
      </c>
      <c r="C1201" s="4" t="str">
        <f t="shared" ref="C1201:C1206" si="793">"证券卖出"</f>
        <v>证券卖出</v>
      </c>
      <c r="D1201" s="4" t="str">
        <f>"002015"</f>
        <v>002015</v>
      </c>
      <c r="E1201" s="4" t="str">
        <f>"霞客环保"</f>
        <v>霞客环保</v>
      </c>
      <c r="F1201" s="4">
        <v>5.94</v>
      </c>
      <c r="G1201" s="4">
        <v>2000</v>
      </c>
      <c r="H1201" s="4">
        <v>11880</v>
      </c>
      <c r="I1201" s="12">
        <v>11863.12</v>
      </c>
      <c r="J1201" s="4">
        <v>13466</v>
      </c>
      <c r="K1201" s="4">
        <v>0</v>
      </c>
    </row>
    <row r="1202" spans="1:11">
      <c r="A1202" s="4" t="str">
        <f t="shared" si="791"/>
        <v>20180222</v>
      </c>
      <c r="B1202" s="4" t="str">
        <f t="shared" si="792"/>
        <v>20180222</v>
      </c>
      <c r="C1202" s="4" t="str">
        <f t="shared" ref="C1202:C1207" si="794">"证券买入"</f>
        <v>证券买入</v>
      </c>
      <c r="D1202" s="4" t="str">
        <f t="shared" ref="D1202:D1209" si="795">"000768"</f>
        <v>000768</v>
      </c>
      <c r="E1202" s="4" t="str">
        <f t="shared" ref="E1202:E1209" si="796">"中航飞机"</f>
        <v>中航飞机</v>
      </c>
      <c r="F1202" s="4">
        <v>13.46</v>
      </c>
      <c r="G1202" s="4">
        <v>1000</v>
      </c>
      <c r="H1202" s="4">
        <v>13460</v>
      </c>
      <c r="I1202" s="12">
        <v>-13465</v>
      </c>
      <c r="J1202" s="4">
        <v>1</v>
      </c>
      <c r="K1202" s="4">
        <v>3000</v>
      </c>
    </row>
    <row r="1203" spans="1:11">
      <c r="A1203" s="4" t="str">
        <f t="shared" ref="A1203:A1209" si="797">"20180223"</f>
        <v>20180223</v>
      </c>
      <c r="B1203" s="4" t="str">
        <f t="shared" ref="B1203:B1209" si="798">"20180223"</f>
        <v>20180223</v>
      </c>
      <c r="C1203" s="4" t="str">
        <f>"基金申购拨出"</f>
        <v>基金申购拨出</v>
      </c>
      <c r="D1203" s="4" t="str">
        <f>"AA0007"</f>
        <v>AA0007</v>
      </c>
      <c r="E1203" s="4" t="str">
        <f>"银河水星1号集合"</f>
        <v>银河水星1号集合</v>
      </c>
      <c r="F1203" s="4">
        <v>0</v>
      </c>
      <c r="G1203" s="4">
        <v>0</v>
      </c>
      <c r="H1203" s="4">
        <v>0</v>
      </c>
      <c r="I1203" s="12">
        <v>-22301.62</v>
      </c>
      <c r="J1203" s="4">
        <v>-22300.62</v>
      </c>
      <c r="K1203" s="4">
        <v>0</v>
      </c>
    </row>
    <row r="1204" spans="1:11">
      <c r="A1204" s="4" t="str">
        <f t="shared" si="797"/>
        <v>20180223</v>
      </c>
      <c r="B1204" s="4" t="str">
        <f t="shared" si="798"/>
        <v>20180223</v>
      </c>
      <c r="C1204" s="4" t="str">
        <f t="shared" si="794"/>
        <v>证券买入</v>
      </c>
      <c r="D1204" s="4" t="str">
        <f>"150182"</f>
        <v>150182</v>
      </c>
      <c r="E1204" s="4" t="str">
        <f>"军工B"</f>
        <v>军工B</v>
      </c>
      <c r="F1204" s="4">
        <v>0.508</v>
      </c>
      <c r="G1204" s="4">
        <v>10000</v>
      </c>
      <c r="H1204" s="4">
        <v>5080</v>
      </c>
      <c r="I1204" s="12">
        <v>-5085</v>
      </c>
      <c r="J1204" s="4">
        <v>-27385.62</v>
      </c>
      <c r="K1204" s="4">
        <v>10000</v>
      </c>
    </row>
    <row r="1205" spans="1:11">
      <c r="A1205" s="4" t="str">
        <f t="shared" si="797"/>
        <v>20180223</v>
      </c>
      <c r="B1205" s="4" t="str">
        <f t="shared" si="798"/>
        <v>20180223</v>
      </c>
      <c r="C1205" s="4" t="str">
        <f t="shared" si="793"/>
        <v>证券卖出</v>
      </c>
      <c r="D1205" s="4" t="str">
        <f t="shared" si="795"/>
        <v>000768</v>
      </c>
      <c r="E1205" s="4" t="str">
        <f t="shared" si="796"/>
        <v>中航飞机</v>
      </c>
      <c r="F1205" s="4">
        <v>13.71</v>
      </c>
      <c r="G1205" s="4">
        <v>1000</v>
      </c>
      <c r="H1205" s="4">
        <v>13710</v>
      </c>
      <c r="I1205" s="12">
        <v>13691.29</v>
      </c>
      <c r="J1205" s="4">
        <v>-13694.33</v>
      </c>
      <c r="K1205" s="4">
        <v>2000</v>
      </c>
    </row>
    <row r="1206" spans="1:11">
      <c r="A1206" s="4" t="str">
        <f t="shared" si="797"/>
        <v>20180223</v>
      </c>
      <c r="B1206" s="4" t="str">
        <f t="shared" si="798"/>
        <v>20180223</v>
      </c>
      <c r="C1206" s="4" t="str">
        <f t="shared" si="793"/>
        <v>证券卖出</v>
      </c>
      <c r="D1206" s="4" t="str">
        <f>"600886"</f>
        <v>600886</v>
      </c>
      <c r="E1206" s="4" t="str">
        <f>"国投电力"</f>
        <v>国投电力</v>
      </c>
      <c r="F1206" s="4">
        <v>6.83</v>
      </c>
      <c r="G1206" s="4">
        <v>2000</v>
      </c>
      <c r="H1206" s="4">
        <v>13660</v>
      </c>
      <c r="I1206" s="12">
        <v>13641.07</v>
      </c>
      <c r="J1206" s="4">
        <v>-53.26</v>
      </c>
      <c r="K1206" s="4">
        <v>0</v>
      </c>
    </row>
    <row r="1207" spans="1:11">
      <c r="A1207" s="4" t="str">
        <f t="shared" si="797"/>
        <v>20180223</v>
      </c>
      <c r="B1207" s="4" t="str">
        <f t="shared" si="798"/>
        <v>20180223</v>
      </c>
      <c r="C1207" s="4" t="str">
        <f t="shared" si="794"/>
        <v>证券买入</v>
      </c>
      <c r="D1207" s="4" t="str">
        <f t="shared" si="795"/>
        <v>000768</v>
      </c>
      <c r="E1207" s="4" t="str">
        <f t="shared" si="796"/>
        <v>中航飞机</v>
      </c>
      <c r="F1207" s="4">
        <v>13.64</v>
      </c>
      <c r="G1207" s="4">
        <v>1000</v>
      </c>
      <c r="H1207" s="4">
        <v>13640</v>
      </c>
      <c r="I1207" s="12">
        <v>-13645</v>
      </c>
      <c r="J1207" s="4">
        <v>-13698.26</v>
      </c>
      <c r="K1207" s="4">
        <v>3000</v>
      </c>
    </row>
    <row r="1208" spans="1:11">
      <c r="A1208" s="4" t="str">
        <f t="shared" si="797"/>
        <v>20180223</v>
      </c>
      <c r="B1208" s="4" t="str">
        <f t="shared" si="798"/>
        <v>20180223</v>
      </c>
      <c r="C1208" s="4" t="str">
        <f>"证券卖出"</f>
        <v>证券卖出</v>
      </c>
      <c r="D1208" s="4" t="str">
        <f t="shared" si="795"/>
        <v>000768</v>
      </c>
      <c r="E1208" s="4" t="str">
        <f t="shared" si="796"/>
        <v>中航飞机</v>
      </c>
      <c r="F1208" s="4">
        <v>13.64</v>
      </c>
      <c r="G1208" s="4">
        <v>2000</v>
      </c>
      <c r="H1208" s="4">
        <v>27280</v>
      </c>
      <c r="I1208" s="12">
        <v>27244.27</v>
      </c>
      <c r="J1208" s="4">
        <v>13546.01</v>
      </c>
      <c r="K1208" s="4">
        <v>1000</v>
      </c>
    </row>
    <row r="1209" spans="1:11">
      <c r="A1209" s="4" t="str">
        <f t="shared" si="797"/>
        <v>20180223</v>
      </c>
      <c r="B1209" s="4" t="str">
        <f t="shared" si="798"/>
        <v>20180223</v>
      </c>
      <c r="C1209" s="4" t="str">
        <f>"证券买入"</f>
        <v>证券买入</v>
      </c>
      <c r="D1209" s="4" t="str">
        <f t="shared" si="795"/>
        <v>000768</v>
      </c>
      <c r="E1209" s="4" t="str">
        <f t="shared" si="796"/>
        <v>中航飞机</v>
      </c>
      <c r="F1209" s="4">
        <v>13.54</v>
      </c>
      <c r="G1209" s="4">
        <v>1000</v>
      </c>
      <c r="H1209" s="4">
        <v>13540</v>
      </c>
      <c r="I1209" s="12">
        <v>-13545</v>
      </c>
      <c r="J1209" s="4">
        <v>1.01</v>
      </c>
      <c r="K1209" s="4">
        <v>2000</v>
      </c>
    </row>
    <row r="1210" spans="1:11">
      <c r="A1210" s="4" t="str">
        <f t="shared" ref="A1210:A1212" si="799">"20180226"</f>
        <v>20180226</v>
      </c>
      <c r="B1210" s="4" t="str">
        <f t="shared" ref="B1210:B1212" si="800">"20180226"</f>
        <v>20180226</v>
      </c>
      <c r="C1210" s="4" t="str">
        <f>"基金赎回拨入"</f>
        <v>基金赎回拨入</v>
      </c>
      <c r="D1210" s="4" t="str">
        <f>"AA0007"</f>
        <v>AA0007</v>
      </c>
      <c r="E1210" s="4" t="str">
        <f>"银河水星1号集合"</f>
        <v>银河水星1号集合</v>
      </c>
      <c r="F1210" s="4">
        <v>0</v>
      </c>
      <c r="G1210" s="4">
        <v>6299</v>
      </c>
      <c r="H1210" s="4">
        <v>0</v>
      </c>
      <c r="I1210" s="12">
        <v>6299.99</v>
      </c>
      <c r="J1210" s="4">
        <v>6301</v>
      </c>
      <c r="K1210" s="4">
        <v>0</v>
      </c>
    </row>
    <row r="1211" spans="1:11">
      <c r="A1211" s="4" t="str">
        <f t="shared" si="799"/>
        <v>20180226</v>
      </c>
      <c r="B1211" s="4" t="str">
        <f t="shared" si="800"/>
        <v>20180226</v>
      </c>
      <c r="C1211" s="4" t="str">
        <f>"证券卖出"</f>
        <v>证券卖出</v>
      </c>
      <c r="D1211" s="4" t="str">
        <f>"150182"</f>
        <v>150182</v>
      </c>
      <c r="E1211" s="4" t="str">
        <f>"军工B"</f>
        <v>军工B</v>
      </c>
      <c r="F1211" s="4">
        <v>0.545</v>
      </c>
      <c r="G1211" s="4">
        <v>10000</v>
      </c>
      <c r="H1211" s="4">
        <v>5450</v>
      </c>
      <c r="I1211" s="12">
        <v>5445</v>
      </c>
      <c r="J1211" s="4">
        <v>11746</v>
      </c>
      <c r="K1211" s="4">
        <v>0</v>
      </c>
    </row>
    <row r="1212" spans="1:11">
      <c r="A1212" s="4" t="str">
        <f t="shared" si="799"/>
        <v>20180226</v>
      </c>
      <c r="B1212" s="4" t="str">
        <f t="shared" si="800"/>
        <v>20180226</v>
      </c>
      <c r="C1212" s="4" t="str">
        <f t="shared" ref="C1212:C1216" si="801">"证券买入"</f>
        <v>证券买入</v>
      </c>
      <c r="D1212" s="4" t="str">
        <f>"002015"</f>
        <v>002015</v>
      </c>
      <c r="E1212" s="4" t="str">
        <f>"霞客环保"</f>
        <v>霞客环保</v>
      </c>
      <c r="F1212" s="4">
        <v>5.87</v>
      </c>
      <c r="G1212" s="4">
        <v>2000</v>
      </c>
      <c r="H1212" s="4">
        <v>11740</v>
      </c>
      <c r="I1212" s="12">
        <v>-11745</v>
      </c>
      <c r="J1212" s="4">
        <v>1</v>
      </c>
      <c r="K1212" s="4">
        <v>2000</v>
      </c>
    </row>
    <row r="1213" spans="1:11">
      <c r="A1213" s="4" t="str">
        <f t="shared" ref="A1213:A1222" si="802">"20180227"</f>
        <v>20180227</v>
      </c>
      <c r="B1213" s="4" t="str">
        <f t="shared" ref="B1213:B1222" si="803">"20180227"</f>
        <v>20180227</v>
      </c>
      <c r="C1213" s="4" t="str">
        <f>"基金赎回拨入"</f>
        <v>基金赎回拨入</v>
      </c>
      <c r="D1213" s="4" t="str">
        <f>"AA0007"</f>
        <v>AA0007</v>
      </c>
      <c r="E1213" s="4" t="str">
        <f>"银河水星1号集合"</f>
        <v>银河水星1号集合</v>
      </c>
      <c r="F1213" s="4">
        <v>0</v>
      </c>
      <c r="G1213" s="4">
        <v>20179</v>
      </c>
      <c r="H1213" s="4">
        <v>0</v>
      </c>
      <c r="I1213" s="12">
        <v>20179.83</v>
      </c>
      <c r="J1213" s="4">
        <v>20180.83</v>
      </c>
      <c r="K1213" s="4">
        <v>0</v>
      </c>
    </row>
    <row r="1214" spans="1:11">
      <c r="A1214" s="4" t="str">
        <f t="shared" si="802"/>
        <v>20180227</v>
      </c>
      <c r="B1214" s="4" t="str">
        <f t="shared" si="803"/>
        <v>20180227</v>
      </c>
      <c r="C1214" s="4" t="str">
        <f>"证券卖出"</f>
        <v>证券卖出</v>
      </c>
      <c r="D1214" s="4" t="str">
        <f>"150153"</f>
        <v>150153</v>
      </c>
      <c r="E1214" s="4" t="str">
        <f>"创业板B"</f>
        <v>创业板B</v>
      </c>
      <c r="F1214" s="4">
        <v>0.529</v>
      </c>
      <c r="G1214" s="4">
        <v>20000</v>
      </c>
      <c r="H1214" s="4">
        <v>10580</v>
      </c>
      <c r="I1214" s="12">
        <v>10575</v>
      </c>
      <c r="J1214" s="4">
        <v>30755.83</v>
      </c>
      <c r="K1214" s="4">
        <v>20000</v>
      </c>
    </row>
    <row r="1215" spans="1:11">
      <c r="A1215" s="4" t="str">
        <f t="shared" si="802"/>
        <v>20180227</v>
      </c>
      <c r="B1215" s="4" t="str">
        <f t="shared" si="803"/>
        <v>20180227</v>
      </c>
      <c r="C1215" s="4" t="str">
        <f t="shared" si="801"/>
        <v>证券买入</v>
      </c>
      <c r="D1215" s="4" t="str">
        <f t="shared" ref="D1215:D1219" si="804">"150182"</f>
        <v>150182</v>
      </c>
      <c r="E1215" s="4" t="str">
        <f t="shared" ref="E1215:E1219" si="805">"军工B"</f>
        <v>军工B</v>
      </c>
      <c r="F1215" s="4">
        <v>0.557</v>
      </c>
      <c r="G1215" s="4">
        <v>20000</v>
      </c>
      <c r="H1215" s="4">
        <v>11130.2</v>
      </c>
      <c r="I1215" s="12">
        <v>-11135.2</v>
      </c>
      <c r="J1215" s="4">
        <v>19620.63</v>
      </c>
      <c r="K1215" s="4">
        <v>20000</v>
      </c>
    </row>
    <row r="1216" spans="1:11">
      <c r="A1216" s="4" t="str">
        <f t="shared" si="802"/>
        <v>20180227</v>
      </c>
      <c r="B1216" s="4" t="str">
        <f t="shared" si="803"/>
        <v>20180227</v>
      </c>
      <c r="C1216" s="4" t="str">
        <f t="shared" si="801"/>
        <v>证券买入</v>
      </c>
      <c r="D1216" s="4" t="str">
        <f>"150153"</f>
        <v>150153</v>
      </c>
      <c r="E1216" s="4" t="str">
        <f>"创业板B"</f>
        <v>创业板B</v>
      </c>
      <c r="F1216" s="4">
        <v>0.538</v>
      </c>
      <c r="G1216" s="4">
        <v>20000</v>
      </c>
      <c r="H1216" s="4">
        <v>10760</v>
      </c>
      <c r="I1216" s="12">
        <v>-10765</v>
      </c>
      <c r="J1216" s="4">
        <v>8855.63</v>
      </c>
      <c r="K1216" s="4">
        <v>40000</v>
      </c>
    </row>
    <row r="1217" spans="1:11">
      <c r="A1217" s="4" t="str">
        <f t="shared" si="802"/>
        <v>20180227</v>
      </c>
      <c r="B1217" s="4" t="str">
        <f t="shared" si="803"/>
        <v>20180227</v>
      </c>
      <c r="C1217" s="4" t="str">
        <f>"证券卖出"</f>
        <v>证券卖出</v>
      </c>
      <c r="D1217" s="4" t="str">
        <f>"002015"</f>
        <v>002015</v>
      </c>
      <c r="E1217" s="4" t="str">
        <f>"霞客环保"</f>
        <v>霞客环保</v>
      </c>
      <c r="F1217" s="4">
        <v>5.82</v>
      </c>
      <c r="G1217" s="4">
        <v>2000</v>
      </c>
      <c r="H1217" s="4">
        <v>11640</v>
      </c>
      <c r="I1217" s="12">
        <v>11623.38</v>
      </c>
      <c r="J1217" s="4">
        <v>20479.01</v>
      </c>
      <c r="K1217" s="4">
        <v>0</v>
      </c>
    </row>
    <row r="1218" spans="1:11">
      <c r="A1218" s="4" t="str">
        <f t="shared" si="802"/>
        <v>20180227</v>
      </c>
      <c r="B1218" s="4" t="str">
        <f t="shared" si="803"/>
        <v>20180227</v>
      </c>
      <c r="C1218" s="4" t="str">
        <f t="shared" ref="C1218:C1222" si="806">"证券买入"</f>
        <v>证券买入</v>
      </c>
      <c r="D1218" s="4" t="str">
        <f t="shared" si="804"/>
        <v>150182</v>
      </c>
      <c r="E1218" s="4" t="str">
        <f t="shared" si="805"/>
        <v>军工B</v>
      </c>
      <c r="F1218" s="4">
        <v>0.563</v>
      </c>
      <c r="G1218" s="4">
        <v>16200</v>
      </c>
      <c r="H1218" s="4">
        <v>9120.6</v>
      </c>
      <c r="I1218" s="12">
        <v>-9125.6</v>
      </c>
      <c r="J1218" s="4">
        <v>11353.41</v>
      </c>
      <c r="K1218" s="4">
        <v>36200</v>
      </c>
    </row>
    <row r="1219" spans="1:11">
      <c r="A1219" s="4" t="str">
        <f t="shared" si="802"/>
        <v>20180227</v>
      </c>
      <c r="B1219" s="4" t="str">
        <f t="shared" si="803"/>
        <v>20180227</v>
      </c>
      <c r="C1219" s="4" t="str">
        <f t="shared" si="806"/>
        <v>证券买入</v>
      </c>
      <c r="D1219" s="4" t="str">
        <f t="shared" si="804"/>
        <v>150182</v>
      </c>
      <c r="E1219" s="4" t="str">
        <f t="shared" si="805"/>
        <v>军工B</v>
      </c>
      <c r="F1219" s="4">
        <v>0.576</v>
      </c>
      <c r="G1219" s="4">
        <v>20000</v>
      </c>
      <c r="H1219" s="4">
        <v>11520</v>
      </c>
      <c r="I1219" s="12">
        <v>-11525</v>
      </c>
      <c r="J1219" s="4">
        <v>-171.59</v>
      </c>
      <c r="K1219" s="4">
        <v>56200</v>
      </c>
    </row>
    <row r="1220" spans="1:11">
      <c r="A1220" s="4" t="str">
        <f t="shared" si="802"/>
        <v>20180227</v>
      </c>
      <c r="B1220" s="4" t="str">
        <f t="shared" si="803"/>
        <v>20180227</v>
      </c>
      <c r="C1220" s="4" t="str">
        <f t="shared" ref="C1220:C1225" si="807">"证券卖出"</f>
        <v>证券卖出</v>
      </c>
      <c r="D1220" s="4" t="str">
        <f>"000768"</f>
        <v>000768</v>
      </c>
      <c r="E1220" s="4" t="str">
        <f>"中航飞机"</f>
        <v>中航飞机</v>
      </c>
      <c r="F1220" s="4">
        <v>14.5</v>
      </c>
      <c r="G1220" s="4">
        <v>2000</v>
      </c>
      <c r="H1220" s="4">
        <v>29000</v>
      </c>
      <c r="I1220" s="12">
        <v>28962.01</v>
      </c>
      <c r="J1220" s="4">
        <v>28790.42</v>
      </c>
      <c r="K1220" s="4">
        <v>0</v>
      </c>
    </row>
    <row r="1221" spans="1:11">
      <c r="A1221" s="4" t="str">
        <f t="shared" si="802"/>
        <v>20180227</v>
      </c>
      <c r="B1221" s="4" t="str">
        <f t="shared" si="803"/>
        <v>20180227</v>
      </c>
      <c r="C1221" s="4" t="str">
        <f t="shared" si="806"/>
        <v>证券买入</v>
      </c>
      <c r="D1221" s="4" t="str">
        <f>"000768"</f>
        <v>000768</v>
      </c>
      <c r="E1221" s="4" t="str">
        <f>"中航飞机"</f>
        <v>中航飞机</v>
      </c>
      <c r="F1221" s="4">
        <v>14.82</v>
      </c>
      <c r="G1221" s="4">
        <v>1000</v>
      </c>
      <c r="H1221" s="4">
        <v>14820</v>
      </c>
      <c r="I1221" s="12">
        <v>-14825</v>
      </c>
      <c r="J1221" s="4">
        <v>13965.42</v>
      </c>
      <c r="K1221" s="4">
        <v>1000</v>
      </c>
    </row>
    <row r="1222" spans="1:11">
      <c r="A1222" s="4" t="str">
        <f t="shared" si="802"/>
        <v>20180227</v>
      </c>
      <c r="B1222" s="4" t="str">
        <f t="shared" si="803"/>
        <v>20180227</v>
      </c>
      <c r="C1222" s="4" t="str">
        <f t="shared" si="806"/>
        <v>证券买入</v>
      </c>
      <c r="D1222" s="4" t="str">
        <f>"002015"</f>
        <v>002015</v>
      </c>
      <c r="E1222" s="4" t="str">
        <f>"霞客环保"</f>
        <v>霞客环保</v>
      </c>
      <c r="F1222" s="4">
        <v>5.91</v>
      </c>
      <c r="G1222" s="4">
        <v>2000</v>
      </c>
      <c r="H1222" s="4">
        <v>11820</v>
      </c>
      <c r="I1222" s="12">
        <v>-11825</v>
      </c>
      <c r="J1222" s="4">
        <v>2140.42</v>
      </c>
      <c r="K1222" s="4">
        <v>2000</v>
      </c>
    </row>
    <row r="1223" spans="1:11">
      <c r="A1223" s="4" t="str">
        <f t="shared" ref="A1223:A1233" si="808">"20180228"</f>
        <v>20180228</v>
      </c>
      <c r="B1223" s="4" t="str">
        <f t="shared" ref="B1223:B1233" si="809">"20180228"</f>
        <v>20180228</v>
      </c>
      <c r="C1223" s="4" t="str">
        <f>"基金申购拨出"</f>
        <v>基金申购拨出</v>
      </c>
      <c r="D1223" s="4" t="str">
        <f>"AA0007"</f>
        <v>AA0007</v>
      </c>
      <c r="E1223" s="4" t="str">
        <f>"银河水星1号集合"</f>
        <v>银河水星1号集合</v>
      </c>
      <c r="F1223" s="4">
        <v>0</v>
      </c>
      <c r="G1223" s="4">
        <v>0</v>
      </c>
      <c r="H1223" s="4">
        <v>0</v>
      </c>
      <c r="I1223" s="12">
        <v>-31473.21</v>
      </c>
      <c r="J1223" s="4">
        <v>-29332.79</v>
      </c>
      <c r="K1223" s="4">
        <v>0</v>
      </c>
    </row>
    <row r="1224" spans="1:11">
      <c r="A1224" s="4" t="str">
        <f t="shared" si="808"/>
        <v>20180228</v>
      </c>
      <c r="B1224" s="4" t="str">
        <f t="shared" si="809"/>
        <v>20180228</v>
      </c>
      <c r="C1224" s="4" t="str">
        <f t="shared" si="807"/>
        <v>证券卖出</v>
      </c>
      <c r="D1224" s="4" t="str">
        <f>"150182"</f>
        <v>150182</v>
      </c>
      <c r="E1224" s="4" t="str">
        <f>"军工B"</f>
        <v>军工B</v>
      </c>
      <c r="F1224" s="4">
        <v>0.57</v>
      </c>
      <c r="G1224" s="4">
        <v>26200</v>
      </c>
      <c r="H1224" s="4">
        <v>14934</v>
      </c>
      <c r="I1224" s="12">
        <v>14929</v>
      </c>
      <c r="J1224" s="4">
        <v>-14403.79</v>
      </c>
      <c r="K1224" s="4">
        <v>30000</v>
      </c>
    </row>
    <row r="1225" spans="1:11">
      <c r="A1225" s="4" t="str">
        <f t="shared" si="808"/>
        <v>20180228</v>
      </c>
      <c r="B1225" s="4" t="str">
        <f t="shared" si="809"/>
        <v>20180228</v>
      </c>
      <c r="C1225" s="4" t="str">
        <f t="shared" si="807"/>
        <v>证券卖出</v>
      </c>
      <c r="D1225" s="4" t="str">
        <f t="shared" ref="D1225:D1228" si="810">"150153"</f>
        <v>150153</v>
      </c>
      <c r="E1225" s="4" t="str">
        <f t="shared" ref="E1225:E1228" si="811">"创业板B"</f>
        <v>创业板B</v>
      </c>
      <c r="F1225" s="4">
        <v>0.52</v>
      </c>
      <c r="G1225" s="4">
        <v>20000</v>
      </c>
      <c r="H1225" s="4">
        <v>10400</v>
      </c>
      <c r="I1225" s="12">
        <v>10395</v>
      </c>
      <c r="J1225" s="4">
        <v>-4008.79</v>
      </c>
      <c r="K1225" s="4">
        <v>20000</v>
      </c>
    </row>
    <row r="1226" spans="1:11">
      <c r="A1226" s="4" t="str">
        <f t="shared" si="808"/>
        <v>20180228</v>
      </c>
      <c r="B1226" s="4" t="str">
        <f t="shared" si="809"/>
        <v>20180228</v>
      </c>
      <c r="C1226" s="4" t="str">
        <f t="shared" ref="C1226:C1228" si="812">"证券买入"</f>
        <v>证券买入</v>
      </c>
      <c r="D1226" s="4" t="str">
        <f t="shared" si="810"/>
        <v>150153</v>
      </c>
      <c r="E1226" s="4" t="str">
        <f t="shared" si="811"/>
        <v>创业板B</v>
      </c>
      <c r="F1226" s="4">
        <v>0.527</v>
      </c>
      <c r="G1226" s="4">
        <v>20000</v>
      </c>
      <c r="H1226" s="4">
        <v>10540</v>
      </c>
      <c r="I1226" s="12">
        <v>-10545</v>
      </c>
      <c r="J1226" s="4">
        <v>-14553.79</v>
      </c>
      <c r="K1226" s="4">
        <v>40000</v>
      </c>
    </row>
    <row r="1227" spans="1:11">
      <c r="A1227" s="4" t="str">
        <f t="shared" si="808"/>
        <v>20180228</v>
      </c>
      <c r="B1227" s="4" t="str">
        <f t="shared" si="809"/>
        <v>20180228</v>
      </c>
      <c r="C1227" s="4" t="str">
        <f t="shared" si="812"/>
        <v>证券买入</v>
      </c>
      <c r="D1227" s="4" t="str">
        <f t="shared" si="810"/>
        <v>150153</v>
      </c>
      <c r="E1227" s="4" t="str">
        <f t="shared" si="811"/>
        <v>创业板B</v>
      </c>
      <c r="F1227" s="4">
        <v>0.554</v>
      </c>
      <c r="G1227" s="4">
        <v>20000</v>
      </c>
      <c r="H1227" s="4">
        <v>11080</v>
      </c>
      <c r="I1227" s="12">
        <v>-11085</v>
      </c>
      <c r="J1227" s="4">
        <v>-25638.79</v>
      </c>
      <c r="K1227" s="4">
        <v>60000</v>
      </c>
    </row>
    <row r="1228" spans="1:11">
      <c r="A1228" s="4" t="str">
        <f t="shared" si="808"/>
        <v>20180228</v>
      </c>
      <c r="B1228" s="4" t="str">
        <f t="shared" si="809"/>
        <v>20180228</v>
      </c>
      <c r="C1228" s="4" t="str">
        <f t="shared" si="812"/>
        <v>证券买入</v>
      </c>
      <c r="D1228" s="4" t="str">
        <f t="shared" si="810"/>
        <v>150153</v>
      </c>
      <c r="E1228" s="4" t="str">
        <f t="shared" si="811"/>
        <v>创业板B</v>
      </c>
      <c r="F1228" s="4">
        <v>0.557</v>
      </c>
      <c r="G1228" s="4">
        <v>20000</v>
      </c>
      <c r="H1228" s="4">
        <v>11140</v>
      </c>
      <c r="I1228" s="12">
        <v>-11145</v>
      </c>
      <c r="J1228" s="4">
        <v>-36783.79</v>
      </c>
      <c r="K1228" s="4">
        <v>80000</v>
      </c>
    </row>
    <row r="1229" spans="1:11">
      <c r="A1229" s="4" t="str">
        <f t="shared" si="808"/>
        <v>20180228</v>
      </c>
      <c r="B1229" s="4" t="str">
        <f t="shared" si="809"/>
        <v>20180228</v>
      </c>
      <c r="C1229" s="4" t="str">
        <f t="shared" ref="C1229:C1232" si="813">"证券卖出"</f>
        <v>证券卖出</v>
      </c>
      <c r="D1229" s="4" t="str">
        <f>"150182"</f>
        <v>150182</v>
      </c>
      <c r="E1229" s="4" t="str">
        <f>"军工B"</f>
        <v>军工B</v>
      </c>
      <c r="F1229" s="4">
        <v>0.612</v>
      </c>
      <c r="G1229" s="4">
        <v>10000</v>
      </c>
      <c r="H1229" s="4">
        <v>6120</v>
      </c>
      <c r="I1229" s="12">
        <v>6115</v>
      </c>
      <c r="J1229" s="4">
        <v>-30668.79</v>
      </c>
      <c r="K1229" s="4">
        <v>20000</v>
      </c>
    </row>
    <row r="1230" spans="1:11">
      <c r="A1230" s="4" t="str">
        <f t="shared" si="808"/>
        <v>20180228</v>
      </c>
      <c r="B1230" s="4" t="str">
        <f t="shared" si="809"/>
        <v>20180228</v>
      </c>
      <c r="C1230" s="4" t="str">
        <f t="shared" si="813"/>
        <v>证券卖出</v>
      </c>
      <c r="D1230" s="4" t="str">
        <f>"000768"</f>
        <v>000768</v>
      </c>
      <c r="E1230" s="4" t="str">
        <f>"中航飞机"</f>
        <v>中航飞机</v>
      </c>
      <c r="F1230" s="4">
        <v>15.21</v>
      </c>
      <c r="G1230" s="4">
        <v>1000</v>
      </c>
      <c r="H1230" s="4">
        <v>15210</v>
      </c>
      <c r="I1230" s="12">
        <v>15189.79</v>
      </c>
      <c r="J1230" s="4">
        <v>-15479</v>
      </c>
      <c r="K1230" s="4">
        <v>0</v>
      </c>
    </row>
    <row r="1231" spans="1:11">
      <c r="A1231" s="4" t="str">
        <f t="shared" si="808"/>
        <v>20180228</v>
      </c>
      <c r="B1231" s="4" t="str">
        <f t="shared" si="809"/>
        <v>20180228</v>
      </c>
      <c r="C1231" s="4" t="str">
        <f t="shared" si="813"/>
        <v>证券卖出</v>
      </c>
      <c r="D1231" s="4" t="str">
        <f>"150182"</f>
        <v>150182</v>
      </c>
      <c r="E1231" s="4" t="str">
        <f>"军工B"</f>
        <v>军工B</v>
      </c>
      <c r="F1231" s="4">
        <v>0.605</v>
      </c>
      <c r="G1231" s="4">
        <v>20000</v>
      </c>
      <c r="H1231" s="4">
        <v>12100</v>
      </c>
      <c r="I1231" s="12">
        <v>12095</v>
      </c>
      <c r="J1231" s="4">
        <v>-3384</v>
      </c>
      <c r="K1231" s="4">
        <v>0</v>
      </c>
    </row>
    <row r="1232" spans="1:11">
      <c r="A1232" s="4" t="str">
        <f t="shared" si="808"/>
        <v>20180228</v>
      </c>
      <c r="B1232" s="4" t="str">
        <f t="shared" si="809"/>
        <v>20180228</v>
      </c>
      <c r="C1232" s="4" t="str">
        <f t="shared" si="813"/>
        <v>证券卖出</v>
      </c>
      <c r="D1232" s="4" t="str">
        <f t="shared" ref="D1232:D1237" si="814">"150153"</f>
        <v>150153</v>
      </c>
      <c r="E1232" s="4" t="str">
        <f t="shared" ref="E1232:E1237" si="815">"创业板B"</f>
        <v>创业板B</v>
      </c>
      <c r="F1232" s="4">
        <v>0.547</v>
      </c>
      <c r="G1232" s="4">
        <v>20000</v>
      </c>
      <c r="H1232" s="4">
        <v>10940</v>
      </c>
      <c r="I1232" s="12">
        <v>10935</v>
      </c>
      <c r="J1232" s="4">
        <v>7551</v>
      </c>
      <c r="K1232" s="4">
        <v>60000</v>
      </c>
    </row>
    <row r="1233" spans="1:11">
      <c r="A1233" s="4" t="str">
        <f t="shared" si="808"/>
        <v>20180228</v>
      </c>
      <c r="B1233" s="4" t="str">
        <f t="shared" si="809"/>
        <v>20180228</v>
      </c>
      <c r="C1233" s="4" t="str">
        <f t="shared" ref="C1233:C1236" si="816">"证券买入"</f>
        <v>证券买入</v>
      </c>
      <c r="D1233" s="4" t="str">
        <f>"000768"</f>
        <v>000768</v>
      </c>
      <c r="E1233" s="4" t="str">
        <f>"中航飞机"</f>
        <v>中航飞机</v>
      </c>
      <c r="F1233" s="4">
        <v>15.09</v>
      </c>
      <c r="G1233" s="4">
        <v>500</v>
      </c>
      <c r="H1233" s="4">
        <v>7545</v>
      </c>
      <c r="I1233" s="12">
        <v>-7550</v>
      </c>
      <c r="J1233" s="4">
        <v>1</v>
      </c>
      <c r="K1233" s="4">
        <v>500</v>
      </c>
    </row>
    <row r="1234" spans="1:11">
      <c r="A1234" s="4" t="str">
        <f t="shared" ref="A1234:A1237" si="817">"20180301"</f>
        <v>20180301</v>
      </c>
      <c r="B1234" s="4" t="str">
        <f t="shared" ref="B1234:B1237" si="818">"20180301"</f>
        <v>20180301</v>
      </c>
      <c r="C1234" s="4" t="str">
        <f>"基金赎回拨入"</f>
        <v>基金赎回拨入</v>
      </c>
      <c r="D1234" s="4" t="str">
        <f>"AA0007"</f>
        <v>AA0007</v>
      </c>
      <c r="E1234" s="4" t="str">
        <f>"银河水星1号集合"</f>
        <v>银河水星1号集合</v>
      </c>
      <c r="F1234" s="4">
        <v>0</v>
      </c>
      <c r="G1234" s="4">
        <v>11555</v>
      </c>
      <c r="H1234" s="4">
        <v>0</v>
      </c>
      <c r="I1234" s="12">
        <v>11555</v>
      </c>
      <c r="J1234" s="4">
        <v>11556</v>
      </c>
      <c r="K1234" s="4">
        <v>0</v>
      </c>
    </row>
    <row r="1235" spans="1:11">
      <c r="A1235" s="4" t="str">
        <f t="shared" si="817"/>
        <v>20180301</v>
      </c>
      <c r="B1235" s="4" t="str">
        <f t="shared" si="818"/>
        <v>20180301</v>
      </c>
      <c r="C1235" s="4" t="str">
        <f t="shared" si="816"/>
        <v>证券买入</v>
      </c>
      <c r="D1235" s="4" t="str">
        <f t="shared" si="814"/>
        <v>150153</v>
      </c>
      <c r="E1235" s="4" t="str">
        <f t="shared" si="815"/>
        <v>创业板B</v>
      </c>
      <c r="F1235" s="4">
        <v>0.539</v>
      </c>
      <c r="G1235" s="4">
        <v>20000</v>
      </c>
      <c r="H1235" s="4">
        <v>10780</v>
      </c>
      <c r="I1235" s="12">
        <v>-10785</v>
      </c>
      <c r="J1235" s="4">
        <v>771</v>
      </c>
      <c r="K1235" s="4">
        <v>80000</v>
      </c>
    </row>
    <row r="1236" spans="1:11">
      <c r="A1236" s="4" t="str">
        <f t="shared" si="817"/>
        <v>20180301</v>
      </c>
      <c r="B1236" s="4" t="str">
        <f t="shared" si="818"/>
        <v>20180301</v>
      </c>
      <c r="C1236" s="4" t="str">
        <f t="shared" si="816"/>
        <v>证券买入</v>
      </c>
      <c r="D1236" s="4" t="str">
        <f>"150182"</f>
        <v>150182</v>
      </c>
      <c r="E1236" s="4" t="str">
        <f>"军工B"</f>
        <v>军工B</v>
      </c>
      <c r="F1236" s="4">
        <v>0.588</v>
      </c>
      <c r="G1236" s="4">
        <v>20000</v>
      </c>
      <c r="H1236" s="4">
        <v>11760</v>
      </c>
      <c r="I1236" s="12">
        <v>-11765</v>
      </c>
      <c r="J1236" s="4">
        <v>-10994</v>
      </c>
      <c r="K1236" s="4">
        <v>20000</v>
      </c>
    </row>
    <row r="1237" spans="1:11">
      <c r="A1237" s="4" t="str">
        <f t="shared" si="817"/>
        <v>20180301</v>
      </c>
      <c r="B1237" s="4" t="str">
        <f t="shared" si="818"/>
        <v>20180301</v>
      </c>
      <c r="C1237" s="4" t="str">
        <f t="shared" ref="C1237:C1243" si="819">"证券卖出"</f>
        <v>证券卖出</v>
      </c>
      <c r="D1237" s="4" t="str">
        <f t="shared" si="814"/>
        <v>150153</v>
      </c>
      <c r="E1237" s="4" t="str">
        <f t="shared" si="815"/>
        <v>创业板B</v>
      </c>
      <c r="F1237" s="4">
        <v>0.55</v>
      </c>
      <c r="G1237" s="4">
        <v>20000</v>
      </c>
      <c r="H1237" s="4">
        <v>11000</v>
      </c>
      <c r="I1237" s="12">
        <v>10995</v>
      </c>
      <c r="J1237" s="4">
        <v>1</v>
      </c>
      <c r="K1237" s="4">
        <v>60000</v>
      </c>
    </row>
    <row r="1238" spans="1:11">
      <c r="A1238" s="4" t="str">
        <f t="shared" ref="A1238:A1246" si="820">"20180302"</f>
        <v>20180302</v>
      </c>
      <c r="B1238" s="4" t="str">
        <f t="shared" ref="B1238:B1246" si="821">"20180302"</f>
        <v>20180302</v>
      </c>
      <c r="C1238" s="4" t="str">
        <f>"基金申购拨出"</f>
        <v>基金申购拨出</v>
      </c>
      <c r="D1238" s="4" t="str">
        <f>"AA0007"</f>
        <v>AA0007</v>
      </c>
      <c r="E1238" s="4" t="str">
        <f>"银河水星1号集合"</f>
        <v>银河水星1号集合</v>
      </c>
      <c r="F1238" s="4">
        <v>0</v>
      </c>
      <c r="G1238" s="4">
        <v>0</v>
      </c>
      <c r="H1238" s="4">
        <v>0</v>
      </c>
      <c r="I1238" s="12">
        <v>-39801.02</v>
      </c>
      <c r="J1238" s="4">
        <v>-39800.02</v>
      </c>
      <c r="K1238" s="4">
        <v>0</v>
      </c>
    </row>
    <row r="1239" spans="1:11">
      <c r="A1239" s="4" t="str">
        <f t="shared" si="820"/>
        <v>20180302</v>
      </c>
      <c r="B1239" s="4" t="str">
        <f t="shared" si="821"/>
        <v>20180302</v>
      </c>
      <c r="C1239" s="4" t="str">
        <f t="shared" si="819"/>
        <v>证券卖出</v>
      </c>
      <c r="D1239" s="4" t="str">
        <f>"150153"</f>
        <v>150153</v>
      </c>
      <c r="E1239" s="4" t="str">
        <f>"创业板B"</f>
        <v>创业板B</v>
      </c>
      <c r="F1239" s="4">
        <v>0.562</v>
      </c>
      <c r="G1239" s="4">
        <v>20000</v>
      </c>
      <c r="H1239" s="4">
        <v>11240</v>
      </c>
      <c r="I1239" s="12">
        <v>11235</v>
      </c>
      <c r="J1239" s="4">
        <v>-28565.02</v>
      </c>
      <c r="K1239" s="4">
        <v>40000</v>
      </c>
    </row>
    <row r="1240" spans="1:11">
      <c r="A1240" s="4" t="str">
        <f t="shared" si="820"/>
        <v>20180302</v>
      </c>
      <c r="B1240" s="4" t="str">
        <f t="shared" si="821"/>
        <v>20180302</v>
      </c>
      <c r="C1240" s="4" t="str">
        <f t="shared" si="819"/>
        <v>证券卖出</v>
      </c>
      <c r="D1240" s="4" t="str">
        <f>"150182"</f>
        <v>150182</v>
      </c>
      <c r="E1240" s="4" t="str">
        <f>"军工B"</f>
        <v>军工B</v>
      </c>
      <c r="F1240" s="4">
        <v>0.6</v>
      </c>
      <c r="G1240" s="4">
        <v>20000</v>
      </c>
      <c r="H1240" s="4">
        <v>12000</v>
      </c>
      <c r="I1240" s="12">
        <v>11995</v>
      </c>
      <c r="J1240" s="4">
        <v>-16570.02</v>
      </c>
      <c r="K1240" s="4">
        <v>0</v>
      </c>
    </row>
    <row r="1241" spans="1:11">
      <c r="A1241" s="4" t="str">
        <f t="shared" si="820"/>
        <v>20180302</v>
      </c>
      <c r="B1241" s="4" t="str">
        <f t="shared" si="821"/>
        <v>20180302</v>
      </c>
      <c r="C1241" s="4" t="str">
        <f t="shared" si="819"/>
        <v>证券卖出</v>
      </c>
      <c r="D1241" s="4" t="str">
        <f>"000601"</f>
        <v>000601</v>
      </c>
      <c r="E1241" s="4" t="str">
        <f>"韶能股份"</f>
        <v>韶能股份</v>
      </c>
      <c r="F1241" s="4">
        <v>6.96</v>
      </c>
      <c r="G1241" s="4">
        <v>1500</v>
      </c>
      <c r="H1241" s="4">
        <v>10440</v>
      </c>
      <c r="I1241" s="12">
        <v>10424.57</v>
      </c>
      <c r="J1241" s="4">
        <v>-6145.45</v>
      </c>
      <c r="K1241" s="4">
        <v>22200</v>
      </c>
    </row>
    <row r="1242" spans="1:11">
      <c r="A1242" s="4" t="str">
        <f t="shared" si="820"/>
        <v>20180302</v>
      </c>
      <c r="B1242" s="4" t="str">
        <f t="shared" si="821"/>
        <v>20180302</v>
      </c>
      <c r="C1242" s="4" t="str">
        <f t="shared" si="819"/>
        <v>证券卖出</v>
      </c>
      <c r="D1242" s="4" t="str">
        <f>"002015"</f>
        <v>002015</v>
      </c>
      <c r="E1242" s="4" t="str">
        <f>"霞客环保"</f>
        <v>霞客环保</v>
      </c>
      <c r="F1242" s="4">
        <v>5.72</v>
      </c>
      <c r="G1242" s="4">
        <v>2000</v>
      </c>
      <c r="H1242" s="4">
        <v>11440</v>
      </c>
      <c r="I1242" s="12">
        <v>11423.56</v>
      </c>
      <c r="J1242" s="4">
        <v>5278.11</v>
      </c>
      <c r="K1242" s="4">
        <v>0</v>
      </c>
    </row>
    <row r="1243" spans="1:11">
      <c r="A1243" s="4" t="str">
        <f t="shared" si="820"/>
        <v>20180302</v>
      </c>
      <c r="B1243" s="4" t="str">
        <f t="shared" si="821"/>
        <v>20180302</v>
      </c>
      <c r="C1243" s="4" t="str">
        <f t="shared" si="819"/>
        <v>证券卖出</v>
      </c>
      <c r="D1243" s="4" t="str">
        <f>"150153"</f>
        <v>150153</v>
      </c>
      <c r="E1243" s="4" t="str">
        <f>"创业板B"</f>
        <v>创业板B</v>
      </c>
      <c r="F1243" s="4">
        <v>0.556</v>
      </c>
      <c r="G1243" s="4">
        <v>40000</v>
      </c>
      <c r="H1243" s="4">
        <v>22240</v>
      </c>
      <c r="I1243" s="12">
        <v>22233.11</v>
      </c>
      <c r="J1243" s="4">
        <v>27511.22</v>
      </c>
      <c r="K1243" s="4">
        <v>0</v>
      </c>
    </row>
    <row r="1244" spans="1:11">
      <c r="A1244" s="4" t="str">
        <f t="shared" si="820"/>
        <v>20180302</v>
      </c>
      <c r="B1244" s="4" t="str">
        <f t="shared" si="821"/>
        <v>20180302</v>
      </c>
      <c r="C1244" s="4" t="str">
        <f>"证券买入"</f>
        <v>证券买入</v>
      </c>
      <c r="D1244" s="4" t="str">
        <f>"150182"</f>
        <v>150182</v>
      </c>
      <c r="E1244" s="4" t="str">
        <f>"军工B"</f>
        <v>军工B</v>
      </c>
      <c r="F1244" s="4">
        <v>0.607</v>
      </c>
      <c r="G1244" s="4">
        <v>40000</v>
      </c>
      <c r="H1244" s="4">
        <v>24280</v>
      </c>
      <c r="I1244" s="12">
        <v>-24287.53</v>
      </c>
      <c r="J1244" s="4">
        <v>3223.69</v>
      </c>
      <c r="K1244" s="4">
        <v>40000</v>
      </c>
    </row>
    <row r="1245" spans="1:11">
      <c r="A1245" s="4" t="str">
        <f t="shared" si="820"/>
        <v>20180302</v>
      </c>
      <c r="B1245" s="4" t="str">
        <f t="shared" si="821"/>
        <v>20180302</v>
      </c>
      <c r="C1245" s="4" t="str">
        <f>"证券卖出"</f>
        <v>证券卖出</v>
      </c>
      <c r="D1245" s="4" t="str">
        <f>"000768"</f>
        <v>000768</v>
      </c>
      <c r="E1245" s="4" t="str">
        <f>"中航飞机"</f>
        <v>中航飞机</v>
      </c>
      <c r="F1245" s="4">
        <v>15.35</v>
      </c>
      <c r="G1245" s="4">
        <v>500</v>
      </c>
      <c r="H1245" s="4">
        <v>7675</v>
      </c>
      <c r="I1245" s="12">
        <v>7662.32</v>
      </c>
      <c r="J1245" s="4">
        <v>10886.01</v>
      </c>
      <c r="K1245" s="4">
        <v>0</v>
      </c>
    </row>
    <row r="1246" spans="1:11">
      <c r="A1246" s="4" t="str">
        <f t="shared" si="820"/>
        <v>20180302</v>
      </c>
      <c r="B1246" s="4" t="str">
        <f t="shared" si="821"/>
        <v>20180302</v>
      </c>
      <c r="C1246" s="4" t="str">
        <f>"证券买入"</f>
        <v>证券买入</v>
      </c>
      <c r="D1246" s="4" t="str">
        <f>"150153"</f>
        <v>150153</v>
      </c>
      <c r="E1246" s="4" t="str">
        <f>"创业板B"</f>
        <v>创业板B</v>
      </c>
      <c r="F1246" s="4">
        <v>0.544</v>
      </c>
      <c r="G1246" s="4">
        <v>20000</v>
      </c>
      <c r="H1246" s="4">
        <v>10880</v>
      </c>
      <c r="I1246" s="12">
        <v>-10885</v>
      </c>
      <c r="J1246" s="4">
        <v>1.01</v>
      </c>
      <c r="K1246" s="4">
        <v>20000</v>
      </c>
    </row>
    <row r="1247" spans="1:11">
      <c r="A1247" s="4" t="str">
        <f>"20180305"</f>
        <v>20180305</v>
      </c>
      <c r="B1247" s="4" t="str">
        <f>"20180305"</f>
        <v>20180305</v>
      </c>
      <c r="C1247" s="4" t="str">
        <f>"基金赎回拨入"</f>
        <v>基金赎回拨入</v>
      </c>
      <c r="D1247" s="4" t="str">
        <f>"AA0007"</f>
        <v>AA0007</v>
      </c>
      <c r="E1247" s="4" t="str">
        <f>"银河水星1号集合"</f>
        <v>银河水星1号集合</v>
      </c>
      <c r="F1247" s="4">
        <v>0</v>
      </c>
      <c r="G1247" s="4">
        <v>28</v>
      </c>
      <c r="H1247" s="4">
        <v>0</v>
      </c>
      <c r="I1247" s="12">
        <v>28.99</v>
      </c>
      <c r="J1247" s="4">
        <v>30</v>
      </c>
      <c r="K1247" s="4">
        <v>0</v>
      </c>
    </row>
    <row r="1248" spans="1:11">
      <c r="A1248" s="4" t="str">
        <f t="shared" ref="A1248:A1254" si="822">"20180306"</f>
        <v>20180306</v>
      </c>
      <c r="B1248" s="4" t="str">
        <f>"0"</f>
        <v>0</v>
      </c>
      <c r="C1248" s="4" t="str">
        <f>"股息红利差异扣税"</f>
        <v>股息红利差异扣税</v>
      </c>
      <c r="D1248" s="4" t="str">
        <f>"000601"</f>
        <v>000601</v>
      </c>
      <c r="E1248" s="4" t="str">
        <f>"韶能股份"</f>
        <v>韶能股份</v>
      </c>
      <c r="F1248" s="4">
        <v>0</v>
      </c>
      <c r="G1248" s="4">
        <v>0</v>
      </c>
      <c r="H1248" s="4">
        <v>0</v>
      </c>
      <c r="I1248" s="12">
        <v>-30</v>
      </c>
      <c r="J1248" s="4">
        <v>0</v>
      </c>
      <c r="K1248" s="4">
        <v>0</v>
      </c>
    </row>
    <row r="1249" spans="1:11">
      <c r="A1249" s="4" t="str">
        <f t="shared" si="822"/>
        <v>20180306</v>
      </c>
      <c r="B1249" s="4" t="str">
        <f t="shared" ref="B1249:B1254" si="823">"20180306"</f>
        <v>20180306</v>
      </c>
      <c r="C1249" s="4" t="str">
        <f>"基金申购拨出"</f>
        <v>基金申购拨出</v>
      </c>
      <c r="D1249" s="4" t="str">
        <f>"AA0007"</f>
        <v>AA0007</v>
      </c>
      <c r="E1249" s="4" t="str">
        <f>"银河水星1号集合"</f>
        <v>银河水星1号集合</v>
      </c>
      <c r="F1249" s="4">
        <v>0</v>
      </c>
      <c r="G1249" s="4">
        <v>0</v>
      </c>
      <c r="H1249" s="4">
        <v>0</v>
      </c>
      <c r="I1249" s="12">
        <v>-9864</v>
      </c>
      <c r="J1249" s="4">
        <v>-9864</v>
      </c>
      <c r="K1249" s="4">
        <v>0</v>
      </c>
    </row>
    <row r="1250" spans="1:11">
      <c r="A1250" s="4" t="str">
        <f t="shared" si="822"/>
        <v>20180306</v>
      </c>
      <c r="B1250" s="4" t="str">
        <f t="shared" si="823"/>
        <v>20180306</v>
      </c>
      <c r="C1250" s="4" t="str">
        <f t="shared" ref="C1250:C1254" si="824">"证券卖出"</f>
        <v>证券卖出</v>
      </c>
      <c r="D1250" s="4" t="str">
        <f>"150182"</f>
        <v>150182</v>
      </c>
      <c r="E1250" s="4" t="str">
        <f>"军工B"</f>
        <v>军工B</v>
      </c>
      <c r="F1250" s="4">
        <v>0.625</v>
      </c>
      <c r="G1250" s="4">
        <v>20000</v>
      </c>
      <c r="H1250" s="4">
        <v>12500</v>
      </c>
      <c r="I1250" s="12">
        <v>12495</v>
      </c>
      <c r="J1250" s="4">
        <v>2631</v>
      </c>
      <c r="K1250" s="4">
        <v>20000</v>
      </c>
    </row>
    <row r="1251" spans="1:11">
      <c r="A1251" s="4" t="str">
        <f t="shared" si="822"/>
        <v>20180306</v>
      </c>
      <c r="B1251" s="4" t="str">
        <f t="shared" si="823"/>
        <v>20180306</v>
      </c>
      <c r="C1251" s="4" t="str">
        <f>"证券买入"</f>
        <v>证券买入</v>
      </c>
      <c r="D1251" s="4" t="str">
        <f>"150153"</f>
        <v>150153</v>
      </c>
      <c r="E1251" s="4" t="str">
        <f>"创业板B"</f>
        <v>创业板B</v>
      </c>
      <c r="F1251" s="4">
        <v>0.575</v>
      </c>
      <c r="G1251" s="4">
        <v>20000</v>
      </c>
      <c r="H1251" s="4">
        <v>11500</v>
      </c>
      <c r="I1251" s="12">
        <v>-11505</v>
      </c>
      <c r="J1251" s="4">
        <v>-8874</v>
      </c>
      <c r="K1251" s="4">
        <v>40000</v>
      </c>
    </row>
    <row r="1252" spans="1:11">
      <c r="A1252" s="4" t="str">
        <f t="shared" si="822"/>
        <v>20180306</v>
      </c>
      <c r="B1252" s="4" t="str">
        <f t="shared" si="823"/>
        <v>20180306</v>
      </c>
      <c r="C1252" s="4" t="str">
        <f t="shared" si="824"/>
        <v>证券卖出</v>
      </c>
      <c r="D1252" s="4" t="str">
        <f>"150182"</f>
        <v>150182</v>
      </c>
      <c r="E1252" s="4" t="str">
        <f>"军工B"</f>
        <v>军工B</v>
      </c>
      <c r="F1252" s="4">
        <v>0.624</v>
      </c>
      <c r="G1252" s="4">
        <v>20000</v>
      </c>
      <c r="H1252" s="4">
        <v>12480</v>
      </c>
      <c r="I1252" s="12">
        <v>12475</v>
      </c>
      <c r="J1252" s="4">
        <v>3601</v>
      </c>
      <c r="K1252" s="4">
        <v>0</v>
      </c>
    </row>
    <row r="1253" spans="1:11">
      <c r="A1253" s="4" t="str">
        <f t="shared" si="822"/>
        <v>20180306</v>
      </c>
      <c r="B1253" s="4" t="str">
        <f t="shared" si="823"/>
        <v>20180306</v>
      </c>
      <c r="C1253" s="4" t="str">
        <f>"证券买入"</f>
        <v>证券买入</v>
      </c>
      <c r="D1253" s="4" t="str">
        <f t="shared" ref="D1253:D1258" si="825">"000768"</f>
        <v>000768</v>
      </c>
      <c r="E1253" s="4" t="str">
        <f t="shared" ref="E1253:E1258" si="826">"中航飞机"</f>
        <v>中航飞机</v>
      </c>
      <c r="F1253" s="4">
        <v>15.13</v>
      </c>
      <c r="G1253" s="4">
        <v>1000</v>
      </c>
      <c r="H1253" s="4">
        <v>15130</v>
      </c>
      <c r="I1253" s="12">
        <v>-15135</v>
      </c>
      <c r="J1253" s="4">
        <v>-11534</v>
      </c>
      <c r="K1253" s="4">
        <v>1000</v>
      </c>
    </row>
    <row r="1254" spans="1:11">
      <c r="A1254" s="4" t="str">
        <f t="shared" si="822"/>
        <v>20180306</v>
      </c>
      <c r="B1254" s="4" t="str">
        <f t="shared" si="823"/>
        <v>20180306</v>
      </c>
      <c r="C1254" s="4" t="str">
        <f t="shared" si="824"/>
        <v>证券卖出</v>
      </c>
      <c r="D1254" s="4" t="str">
        <f>"150153"</f>
        <v>150153</v>
      </c>
      <c r="E1254" s="4" t="str">
        <f>"创业板B"</f>
        <v>创业板B</v>
      </c>
      <c r="F1254" s="4">
        <v>0.577</v>
      </c>
      <c r="G1254" s="4">
        <v>20000</v>
      </c>
      <c r="H1254" s="4">
        <v>11540</v>
      </c>
      <c r="I1254" s="12">
        <v>11535</v>
      </c>
      <c r="J1254" s="4">
        <v>1</v>
      </c>
      <c r="K1254" s="4">
        <v>20000</v>
      </c>
    </row>
    <row r="1255" spans="1:11">
      <c r="A1255" s="4" t="str">
        <f t="shared" ref="A1255:A1258" si="827">"20180307"</f>
        <v>20180307</v>
      </c>
      <c r="B1255" s="4" t="str">
        <f t="shared" ref="B1255:B1258" si="828">"20180307"</f>
        <v>20180307</v>
      </c>
      <c r="C1255" s="4" t="str">
        <f>"基金申购拨出"</f>
        <v>基金申购拨出</v>
      </c>
      <c r="D1255" s="4" t="str">
        <f>"AA0007"</f>
        <v>AA0007</v>
      </c>
      <c r="E1255" s="4" t="str">
        <f>"银河水星1号集合"</f>
        <v>银河水星1号集合</v>
      </c>
      <c r="F1255" s="4">
        <v>0</v>
      </c>
      <c r="G1255" s="4">
        <v>0</v>
      </c>
      <c r="H1255" s="4">
        <v>0</v>
      </c>
      <c r="I1255" s="12">
        <v>-18964.38</v>
      </c>
      <c r="J1255" s="4">
        <v>-18963.38</v>
      </c>
      <c r="K1255" s="4">
        <v>0</v>
      </c>
    </row>
    <row r="1256" spans="1:11">
      <c r="A1256" s="4" t="str">
        <f t="shared" si="827"/>
        <v>20180307</v>
      </c>
      <c r="B1256" s="4" t="str">
        <f t="shared" si="828"/>
        <v>20180307</v>
      </c>
      <c r="C1256" s="4" t="str">
        <f>"证券卖出"</f>
        <v>证券卖出</v>
      </c>
      <c r="D1256" s="4" t="str">
        <f t="shared" si="825"/>
        <v>000768</v>
      </c>
      <c r="E1256" s="4" t="str">
        <f t="shared" si="826"/>
        <v>中航飞机</v>
      </c>
      <c r="F1256" s="4">
        <v>15.615</v>
      </c>
      <c r="G1256" s="4">
        <v>1000</v>
      </c>
      <c r="H1256" s="4">
        <v>15615</v>
      </c>
      <c r="I1256" s="12">
        <v>15594.38</v>
      </c>
      <c r="J1256" s="4">
        <v>-3369</v>
      </c>
      <c r="K1256" s="4">
        <v>0</v>
      </c>
    </row>
    <row r="1257" spans="1:11">
      <c r="A1257" s="4" t="str">
        <f t="shared" si="827"/>
        <v>20180307</v>
      </c>
      <c r="B1257" s="4" t="str">
        <f t="shared" si="828"/>
        <v>20180307</v>
      </c>
      <c r="C1257" s="4" t="str">
        <f>"证券卖出"</f>
        <v>证券卖出</v>
      </c>
      <c r="D1257" s="4" t="str">
        <f>"150153"</f>
        <v>150153</v>
      </c>
      <c r="E1257" s="4" t="str">
        <f>"创业板B"</f>
        <v>创业板B</v>
      </c>
      <c r="F1257" s="4">
        <v>0.557</v>
      </c>
      <c r="G1257" s="4">
        <v>20000</v>
      </c>
      <c r="H1257" s="4">
        <v>11140</v>
      </c>
      <c r="I1257" s="12">
        <v>11135</v>
      </c>
      <c r="J1257" s="4">
        <v>7766</v>
      </c>
      <c r="K1257" s="4">
        <v>0</v>
      </c>
    </row>
    <row r="1258" spans="1:11">
      <c r="A1258" s="4" t="str">
        <f t="shared" si="827"/>
        <v>20180307</v>
      </c>
      <c r="B1258" s="4" t="str">
        <f t="shared" si="828"/>
        <v>20180307</v>
      </c>
      <c r="C1258" s="4" t="str">
        <f>"证券买入"</f>
        <v>证券买入</v>
      </c>
      <c r="D1258" s="4" t="str">
        <f t="shared" si="825"/>
        <v>000768</v>
      </c>
      <c r="E1258" s="4" t="str">
        <f t="shared" si="826"/>
        <v>中航飞机</v>
      </c>
      <c r="F1258" s="4">
        <v>15.52</v>
      </c>
      <c r="G1258" s="4">
        <v>500</v>
      </c>
      <c r="H1258" s="4">
        <v>7760</v>
      </c>
      <c r="I1258" s="12">
        <v>-7765</v>
      </c>
      <c r="J1258" s="4">
        <v>1</v>
      </c>
      <c r="K1258" s="4">
        <v>500</v>
      </c>
    </row>
    <row r="1259" spans="1:11">
      <c r="A1259" s="4" t="str">
        <f>"20180320"</f>
        <v>20180320</v>
      </c>
      <c r="B1259" s="4" t="str">
        <f>"20180320"</f>
        <v>20180320</v>
      </c>
      <c r="C1259" s="4" t="str">
        <f>"利息归本"</f>
        <v>利息归本</v>
      </c>
      <c r="D1259" s="4"/>
      <c r="E1259" s="4"/>
      <c r="F1259" s="4">
        <v>0</v>
      </c>
      <c r="G1259" s="4">
        <v>0</v>
      </c>
      <c r="H1259" s="4">
        <v>0</v>
      </c>
      <c r="I1259" s="12">
        <v>5.74</v>
      </c>
      <c r="J1259" s="4">
        <v>6.74</v>
      </c>
      <c r="K1259" s="4">
        <v>0</v>
      </c>
    </row>
    <row r="1260" spans="1:11">
      <c r="A1260" s="4" t="str">
        <f>"20180321"</f>
        <v>20180321</v>
      </c>
      <c r="B1260" s="4" t="str">
        <f>"0"</f>
        <v>0</v>
      </c>
      <c r="C1260" s="4" t="str">
        <f>"基金红利拨入"</f>
        <v>基金红利拨入</v>
      </c>
      <c r="D1260" s="4" t="str">
        <f>"AA0007"</f>
        <v>AA0007</v>
      </c>
      <c r="E1260" s="4" t="str">
        <f>"银河水星1号集合"</f>
        <v>银河水星1号集合</v>
      </c>
      <c r="F1260" s="4">
        <v>0</v>
      </c>
      <c r="G1260" s="4">
        <v>0</v>
      </c>
      <c r="H1260" s="4">
        <v>400.97</v>
      </c>
      <c r="I1260" s="12">
        <v>400.97</v>
      </c>
      <c r="J1260" s="4">
        <v>407.71</v>
      </c>
      <c r="K1260" s="4">
        <v>0</v>
      </c>
    </row>
    <row r="1261" spans="1:11">
      <c r="A1261" s="4" t="str">
        <f t="shared" ref="A1261:A1263" si="829">"20180323"</f>
        <v>20180323</v>
      </c>
      <c r="B1261" s="4" t="str">
        <f t="shared" ref="B1261:B1263" si="830">"20180323"</f>
        <v>20180323</v>
      </c>
      <c r="C1261" s="4" t="str">
        <f>"基金赎回拨入"</f>
        <v>基金赎回拨入</v>
      </c>
      <c r="D1261" s="4" t="str">
        <f>"AA0007"</f>
        <v>AA0007</v>
      </c>
      <c r="E1261" s="4" t="str">
        <f>"银河水星1号集合"</f>
        <v>银河水星1号集合</v>
      </c>
      <c r="F1261" s="4">
        <v>0</v>
      </c>
      <c r="G1261" s="4">
        <v>1706</v>
      </c>
      <c r="H1261" s="4">
        <v>0</v>
      </c>
      <c r="I1261" s="12">
        <v>1706.35</v>
      </c>
      <c r="J1261" s="4">
        <v>2114.06</v>
      </c>
      <c r="K1261" s="4">
        <v>0</v>
      </c>
    </row>
    <row r="1262" spans="1:11">
      <c r="A1262" s="4" t="str">
        <f t="shared" si="829"/>
        <v>20180323</v>
      </c>
      <c r="B1262" s="4" t="str">
        <f t="shared" si="830"/>
        <v>20180323</v>
      </c>
      <c r="C1262" s="4" t="str">
        <f>"证券买入"</f>
        <v>证券买入</v>
      </c>
      <c r="D1262" s="4" t="str">
        <f>"000601"</f>
        <v>000601</v>
      </c>
      <c r="E1262" s="4" t="str">
        <f>"韶能股份"</f>
        <v>韶能股份</v>
      </c>
      <c r="F1262" s="4">
        <v>6.77</v>
      </c>
      <c r="G1262" s="4">
        <v>1500</v>
      </c>
      <c r="H1262" s="4">
        <v>10155</v>
      </c>
      <c r="I1262" s="12">
        <v>-10160</v>
      </c>
      <c r="J1262" s="4">
        <v>-8045.94</v>
      </c>
      <c r="K1262" s="4">
        <v>23700</v>
      </c>
    </row>
    <row r="1263" spans="1:11">
      <c r="A1263" s="4" t="str">
        <f t="shared" si="829"/>
        <v>20180323</v>
      </c>
      <c r="B1263" s="4" t="str">
        <f t="shared" si="830"/>
        <v>20180323</v>
      </c>
      <c r="C1263" s="4" t="str">
        <f>"证券卖出"</f>
        <v>证券卖出</v>
      </c>
      <c r="D1263" s="4" t="str">
        <f>"000768"</f>
        <v>000768</v>
      </c>
      <c r="E1263" s="4" t="str">
        <f>"中航飞机"</f>
        <v>中航飞机</v>
      </c>
      <c r="F1263" s="4">
        <v>16.12</v>
      </c>
      <c r="G1263" s="4">
        <v>500</v>
      </c>
      <c r="H1263" s="4">
        <v>8060</v>
      </c>
      <c r="I1263" s="12">
        <v>8046.94</v>
      </c>
      <c r="J1263" s="4">
        <v>1</v>
      </c>
      <c r="K1263" s="4">
        <v>0</v>
      </c>
    </row>
    <row r="1264" spans="1:11">
      <c r="A1264" s="4" t="str">
        <f t="shared" ref="A1264:A1267" si="831">"20180329"</f>
        <v>20180329</v>
      </c>
      <c r="B1264" s="4" t="str">
        <f t="shared" ref="B1264:B1267" si="832">"20180329"</f>
        <v>20180329</v>
      </c>
      <c r="C1264" s="4" t="str">
        <f>"资管计划实时取现"</f>
        <v>资管计划实时取现</v>
      </c>
      <c r="D1264" s="4" t="str">
        <f>"119931"</f>
        <v>119931</v>
      </c>
      <c r="E1264" s="4" t="str">
        <f>"水星1号"</f>
        <v>水星1号</v>
      </c>
      <c r="F1264" s="4">
        <v>0</v>
      </c>
      <c r="G1264" s="4">
        <v>0</v>
      </c>
      <c r="H1264" s="4">
        <v>100000</v>
      </c>
      <c r="I1264" s="12">
        <v>100000</v>
      </c>
      <c r="J1264" s="4">
        <v>100001</v>
      </c>
      <c r="K1264" s="4">
        <v>0</v>
      </c>
    </row>
    <row r="1265" spans="1:11">
      <c r="A1265" s="4" t="str">
        <f t="shared" si="831"/>
        <v>20180329</v>
      </c>
      <c r="B1265" s="4" t="str">
        <f t="shared" si="832"/>
        <v>20180329</v>
      </c>
      <c r="C1265" s="4" t="str">
        <f>"证券转银行"</f>
        <v>证券转银行</v>
      </c>
      <c r="D1265" s="4"/>
      <c r="E1265" s="4"/>
      <c r="F1265" s="4">
        <v>0</v>
      </c>
      <c r="G1265" s="4">
        <v>0</v>
      </c>
      <c r="H1265" s="4">
        <v>0</v>
      </c>
      <c r="I1265" s="12">
        <v>-100000</v>
      </c>
      <c r="J1265" s="4">
        <v>1</v>
      </c>
      <c r="K1265" s="4">
        <v>0</v>
      </c>
    </row>
    <row r="1266" spans="1:11">
      <c r="A1266" s="4" t="str">
        <f t="shared" si="831"/>
        <v>20180329</v>
      </c>
      <c r="B1266" s="4" t="str">
        <f t="shared" si="832"/>
        <v>20180329</v>
      </c>
      <c r="C1266" s="4" t="str">
        <f>"资管T0取现拨入"</f>
        <v>资管T0取现拨入</v>
      </c>
      <c r="D1266" s="4" t="str">
        <f t="shared" ref="D1266:D1270" si="833">"AA0007"</f>
        <v>AA0007</v>
      </c>
      <c r="E1266" s="4" t="str">
        <f t="shared" ref="E1266:E1270" si="834">"银河水星1号集合"</f>
        <v>银河水星1号集合</v>
      </c>
      <c r="F1266" s="4">
        <v>0</v>
      </c>
      <c r="G1266" s="4">
        <v>100000</v>
      </c>
      <c r="H1266" s="4">
        <v>100000</v>
      </c>
      <c r="I1266" s="12">
        <v>100000</v>
      </c>
      <c r="J1266" s="4">
        <v>100001</v>
      </c>
      <c r="K1266" s="4">
        <v>0</v>
      </c>
    </row>
    <row r="1267" spans="1:11">
      <c r="A1267" s="4" t="str">
        <f t="shared" si="831"/>
        <v>20180329</v>
      </c>
      <c r="B1267" s="4" t="str">
        <f t="shared" si="832"/>
        <v>20180329</v>
      </c>
      <c r="C1267" s="4" t="str">
        <f>"资管计划实时取现"</f>
        <v>资管计划实时取现</v>
      </c>
      <c r="D1267" s="4" t="str">
        <f>"119931"</f>
        <v>119931</v>
      </c>
      <c r="E1267" s="4" t="str">
        <f>"水星1号"</f>
        <v>水星1号</v>
      </c>
      <c r="F1267" s="4">
        <v>0</v>
      </c>
      <c r="G1267" s="4">
        <v>0</v>
      </c>
      <c r="H1267" s="4">
        <v>0</v>
      </c>
      <c r="I1267" s="12">
        <v>-100000</v>
      </c>
      <c r="J1267" s="4">
        <v>1</v>
      </c>
      <c r="K1267" s="4">
        <v>0</v>
      </c>
    </row>
    <row r="1268" spans="1:11">
      <c r="A1268" s="4" t="str">
        <f>"20180330"</f>
        <v>20180330</v>
      </c>
      <c r="B1268" s="4" t="str">
        <f>"20180330"</f>
        <v>20180330</v>
      </c>
      <c r="C1268" s="4" t="str">
        <f>"基金赎回拨入"</f>
        <v>基金赎回拨入</v>
      </c>
      <c r="D1268" s="4" t="str">
        <f t="shared" si="833"/>
        <v>AA0007</v>
      </c>
      <c r="E1268" s="4" t="str">
        <f t="shared" si="834"/>
        <v>银河水星1号集合</v>
      </c>
      <c r="F1268" s="4">
        <v>0</v>
      </c>
      <c r="G1268" s="4">
        <v>7105</v>
      </c>
      <c r="H1268" s="4">
        <v>0</v>
      </c>
      <c r="I1268" s="12">
        <v>7105</v>
      </c>
      <c r="J1268" s="4">
        <v>7106</v>
      </c>
      <c r="K1268" s="4">
        <v>0</v>
      </c>
    </row>
    <row r="1269" spans="1:11">
      <c r="A1269" s="4" t="str">
        <f>"20180330"</f>
        <v>20180330</v>
      </c>
      <c r="B1269" s="4" t="str">
        <f>"20180330"</f>
        <v>20180330</v>
      </c>
      <c r="C1269" s="4" t="str">
        <f>"证券买入"</f>
        <v>证券买入</v>
      </c>
      <c r="D1269" s="4" t="str">
        <f t="shared" ref="D1269:D1273" si="835">"150182"</f>
        <v>150182</v>
      </c>
      <c r="E1269" s="4" t="str">
        <f t="shared" ref="E1269:E1273" si="836">"军工B"</f>
        <v>军工B</v>
      </c>
      <c r="F1269" s="4">
        <v>0.71</v>
      </c>
      <c r="G1269" s="4">
        <v>10000</v>
      </c>
      <c r="H1269" s="4">
        <v>7100</v>
      </c>
      <c r="I1269" s="12">
        <v>-7105</v>
      </c>
      <c r="J1269" s="4">
        <v>1</v>
      </c>
      <c r="K1269" s="4">
        <v>10000</v>
      </c>
    </row>
    <row r="1270" spans="1:11">
      <c r="A1270" s="4" t="str">
        <f>"20180402"</f>
        <v>20180402</v>
      </c>
      <c r="B1270" s="4" t="str">
        <f>"20180402"</f>
        <v>20180402</v>
      </c>
      <c r="C1270" s="4" t="str">
        <f>"基金申购拨出"</f>
        <v>基金申购拨出</v>
      </c>
      <c r="D1270" s="4" t="str">
        <f t="shared" si="833"/>
        <v>AA0007</v>
      </c>
      <c r="E1270" s="4" t="str">
        <f t="shared" si="834"/>
        <v>银河水星1号集合</v>
      </c>
      <c r="F1270" s="4">
        <v>0</v>
      </c>
      <c r="G1270" s="4">
        <v>0</v>
      </c>
      <c r="H1270" s="4">
        <v>0</v>
      </c>
      <c r="I1270" s="12">
        <v>-7695</v>
      </c>
      <c r="J1270" s="4">
        <v>-7694</v>
      </c>
      <c r="K1270" s="4">
        <v>0</v>
      </c>
    </row>
    <row r="1271" spans="1:11">
      <c r="A1271" s="4" t="str">
        <f>"20180402"</f>
        <v>20180402</v>
      </c>
      <c r="B1271" s="4" t="str">
        <f>"20180402"</f>
        <v>20180402</v>
      </c>
      <c r="C1271" s="4" t="str">
        <f>"证券卖出"</f>
        <v>证券卖出</v>
      </c>
      <c r="D1271" s="4" t="str">
        <f t="shared" si="835"/>
        <v>150182</v>
      </c>
      <c r="E1271" s="4" t="str">
        <f t="shared" si="836"/>
        <v>军工B</v>
      </c>
      <c r="F1271" s="4">
        <v>0.77</v>
      </c>
      <c r="G1271" s="4">
        <v>10000</v>
      </c>
      <c r="H1271" s="4">
        <v>7700</v>
      </c>
      <c r="I1271" s="12">
        <v>7695</v>
      </c>
      <c r="J1271" s="4">
        <v>1</v>
      </c>
      <c r="K1271" s="4">
        <v>0</v>
      </c>
    </row>
    <row r="1272" spans="1:11">
      <c r="A1272" s="4" t="str">
        <f>"20180403"</f>
        <v>20180403</v>
      </c>
      <c r="B1272" s="4" t="str">
        <f>"20180403"</f>
        <v>20180403</v>
      </c>
      <c r="C1272" s="4" t="str">
        <f>"基金赎回拨入"</f>
        <v>基金赎回拨入</v>
      </c>
      <c r="D1272" s="4" t="str">
        <f t="shared" ref="D1272:D1276" si="837">"AA0007"</f>
        <v>AA0007</v>
      </c>
      <c r="E1272" s="4" t="str">
        <f t="shared" ref="E1272:E1276" si="838">"银河水星1号集合"</f>
        <v>银河水星1号集合</v>
      </c>
      <c r="F1272" s="4">
        <v>0</v>
      </c>
      <c r="G1272" s="4">
        <v>7265</v>
      </c>
      <c r="H1272" s="4">
        <v>0</v>
      </c>
      <c r="I1272" s="12">
        <v>7265</v>
      </c>
      <c r="J1272" s="4">
        <v>7266</v>
      </c>
      <c r="K1272" s="4">
        <v>0</v>
      </c>
    </row>
    <row r="1273" spans="1:11">
      <c r="A1273" s="4" t="str">
        <f>"20180403"</f>
        <v>20180403</v>
      </c>
      <c r="B1273" s="4" t="str">
        <f>"20180403"</f>
        <v>20180403</v>
      </c>
      <c r="C1273" s="4" t="str">
        <f>"证券买入"</f>
        <v>证券买入</v>
      </c>
      <c r="D1273" s="4" t="str">
        <f t="shared" si="835"/>
        <v>150182</v>
      </c>
      <c r="E1273" s="4" t="str">
        <f t="shared" si="836"/>
        <v>军工B</v>
      </c>
      <c r="F1273" s="4">
        <v>0.726</v>
      </c>
      <c r="G1273" s="4">
        <v>10000</v>
      </c>
      <c r="H1273" s="4">
        <v>7260</v>
      </c>
      <c r="I1273" s="12">
        <v>-7265</v>
      </c>
      <c r="J1273" s="4">
        <v>1</v>
      </c>
      <c r="K1273" s="4">
        <v>10000</v>
      </c>
    </row>
    <row r="1274" spans="1:11">
      <c r="A1274" s="4" t="str">
        <f>"20180404"</f>
        <v>20180404</v>
      </c>
      <c r="B1274" s="4" t="str">
        <f>"20180404"</f>
        <v>20180404</v>
      </c>
      <c r="C1274" s="4" t="str">
        <f>"基金申购拨出"</f>
        <v>基金申购拨出</v>
      </c>
      <c r="D1274" s="4" t="str">
        <f t="shared" si="837"/>
        <v>AA0007</v>
      </c>
      <c r="E1274" s="4" t="str">
        <f t="shared" si="838"/>
        <v>银河水星1号集合</v>
      </c>
      <c r="F1274" s="4">
        <v>0</v>
      </c>
      <c r="G1274" s="4">
        <v>0</v>
      </c>
      <c r="H1274" s="4">
        <v>0</v>
      </c>
      <c r="I1274" s="12">
        <v>-7795</v>
      </c>
      <c r="J1274" s="4">
        <v>-7794</v>
      </c>
      <c r="K1274" s="4">
        <v>0</v>
      </c>
    </row>
    <row r="1275" spans="1:11">
      <c r="A1275" s="4" t="str">
        <f>"20180404"</f>
        <v>20180404</v>
      </c>
      <c r="B1275" s="4" t="str">
        <f>"20180404"</f>
        <v>20180404</v>
      </c>
      <c r="C1275" s="4" t="str">
        <f>"证券卖出"</f>
        <v>证券卖出</v>
      </c>
      <c r="D1275" s="4" t="str">
        <f>"150182"</f>
        <v>150182</v>
      </c>
      <c r="E1275" s="4" t="str">
        <f>"军工B"</f>
        <v>军工B</v>
      </c>
      <c r="F1275" s="4">
        <v>0.78</v>
      </c>
      <c r="G1275" s="4">
        <v>10000</v>
      </c>
      <c r="H1275" s="4">
        <v>7800</v>
      </c>
      <c r="I1275" s="12">
        <v>7795</v>
      </c>
      <c r="J1275" s="4">
        <v>1</v>
      </c>
      <c r="K1275" s="4">
        <v>0</v>
      </c>
    </row>
    <row r="1276" spans="1:11">
      <c r="A1276" s="4" t="str">
        <f>"20180417"</f>
        <v>20180417</v>
      </c>
      <c r="B1276" s="4" t="str">
        <f>"20180417"</f>
        <v>20180417</v>
      </c>
      <c r="C1276" s="4" t="str">
        <f>"基金赎回拨入"</f>
        <v>基金赎回拨入</v>
      </c>
      <c r="D1276" s="4" t="str">
        <f t="shared" si="837"/>
        <v>AA0007</v>
      </c>
      <c r="E1276" s="4" t="str">
        <f t="shared" si="838"/>
        <v>银河水星1号集合</v>
      </c>
      <c r="F1276" s="4">
        <v>0</v>
      </c>
      <c r="G1276" s="4">
        <v>9755</v>
      </c>
      <c r="H1276" s="4">
        <v>0</v>
      </c>
      <c r="I1276" s="12">
        <v>9755</v>
      </c>
      <c r="J1276" s="4">
        <v>9756</v>
      </c>
      <c r="K1276" s="4">
        <v>0</v>
      </c>
    </row>
    <row r="1277" spans="1:11">
      <c r="A1277" s="4" t="str">
        <f>"20180417"</f>
        <v>20180417</v>
      </c>
      <c r="B1277" s="4" t="str">
        <f>"20180417"</f>
        <v>20180417</v>
      </c>
      <c r="C1277" s="4" t="str">
        <f>"证券买入"</f>
        <v>证券买入</v>
      </c>
      <c r="D1277" s="4" t="str">
        <f>"000601"</f>
        <v>000601</v>
      </c>
      <c r="E1277" s="4" t="str">
        <f>"韶能股份"</f>
        <v>韶能股份</v>
      </c>
      <c r="F1277" s="4">
        <v>6.5</v>
      </c>
      <c r="G1277" s="4">
        <v>1500</v>
      </c>
      <c r="H1277" s="4">
        <v>9750</v>
      </c>
      <c r="I1277" s="12">
        <v>-9755</v>
      </c>
      <c r="J1277" s="4">
        <v>1</v>
      </c>
      <c r="K1277" s="4">
        <v>25200</v>
      </c>
    </row>
    <row r="1278" spans="1:11">
      <c r="A1278" s="4" t="str">
        <f t="shared" ref="A1278:A1280" si="839">"20180423"</f>
        <v>20180423</v>
      </c>
      <c r="B1278" s="4" t="str">
        <f t="shared" ref="B1278:B1282" si="840">"20180423"</f>
        <v>20180423</v>
      </c>
      <c r="C1278" s="4" t="str">
        <f>"银行转证券"</f>
        <v>银行转证券</v>
      </c>
      <c r="D1278" s="4"/>
      <c r="E1278" s="4"/>
      <c r="F1278" s="4">
        <v>0</v>
      </c>
      <c r="G1278" s="4">
        <v>0</v>
      </c>
      <c r="H1278" s="4">
        <v>0</v>
      </c>
      <c r="I1278" s="12">
        <v>160000</v>
      </c>
      <c r="J1278" s="4">
        <v>160001</v>
      </c>
      <c r="K1278" s="4">
        <v>0</v>
      </c>
    </row>
    <row r="1279" spans="1:11">
      <c r="A1279" s="4" t="str">
        <f t="shared" si="839"/>
        <v>20180423</v>
      </c>
      <c r="B1279" s="4" t="str">
        <f t="shared" si="840"/>
        <v>20180423</v>
      </c>
      <c r="C1279" s="4" t="str">
        <f>"基金赎回拨入"</f>
        <v>基金赎回拨入</v>
      </c>
      <c r="D1279" s="4" t="str">
        <f>"AA0007"</f>
        <v>AA0007</v>
      </c>
      <c r="E1279" s="4" t="str">
        <f>"银河水星1号集合"</f>
        <v>银河水星1号集合</v>
      </c>
      <c r="F1279" s="4">
        <v>0</v>
      </c>
      <c r="G1279" s="4">
        <v>30478</v>
      </c>
      <c r="H1279" s="4">
        <v>0</v>
      </c>
      <c r="I1279" s="12">
        <v>30478.19</v>
      </c>
      <c r="J1279" s="4">
        <v>190479.19</v>
      </c>
      <c r="K1279" s="4">
        <v>0</v>
      </c>
    </row>
    <row r="1280" spans="1:11">
      <c r="A1280" s="4" t="str">
        <f t="shared" si="839"/>
        <v>20180423</v>
      </c>
      <c r="B1280" s="4" t="str">
        <f t="shared" si="840"/>
        <v>20180423</v>
      </c>
      <c r="C1280" s="4" t="str">
        <f>"证券买入"</f>
        <v>证券买入</v>
      </c>
      <c r="D1280" s="4" t="str">
        <f>"511990"</f>
        <v>511990</v>
      </c>
      <c r="E1280" s="4" t="str">
        <f>"华宝添益"</f>
        <v>华宝添益</v>
      </c>
      <c r="F1280" s="4">
        <v>99.937</v>
      </c>
      <c r="G1280" s="4">
        <v>1900</v>
      </c>
      <c r="H1280" s="4">
        <v>189880.3</v>
      </c>
      <c r="I1280" s="12">
        <v>-189880.3</v>
      </c>
      <c r="J1280" s="4">
        <v>598.89</v>
      </c>
      <c r="K1280" s="4">
        <v>1900</v>
      </c>
    </row>
    <row r="1281" spans="1:11">
      <c r="A1281" s="4" t="str">
        <f>"20180424"</f>
        <v>20180424</v>
      </c>
      <c r="B1281" s="4" t="str">
        <f t="shared" si="840"/>
        <v>20180423</v>
      </c>
      <c r="C1281" s="4" t="str">
        <f>"ETF 基金赎回"</f>
        <v>ETF 基金赎回</v>
      </c>
      <c r="D1281" s="4" t="str">
        <f>"511991"</f>
        <v>511991</v>
      </c>
      <c r="E1281" s="4" t="str">
        <f>"添益申赎"</f>
        <v>添益申赎</v>
      </c>
      <c r="F1281" s="4">
        <v>0</v>
      </c>
      <c r="G1281" s="4">
        <v>1900</v>
      </c>
      <c r="H1281" s="4">
        <v>0</v>
      </c>
      <c r="I1281" s="12">
        <v>0</v>
      </c>
      <c r="J1281" s="4">
        <v>598.89</v>
      </c>
      <c r="K1281" s="4">
        <v>0</v>
      </c>
    </row>
    <row r="1282" spans="1:11">
      <c r="A1282" s="4" t="str">
        <f>"20180424"</f>
        <v>20180424</v>
      </c>
      <c r="B1282" s="4" t="str">
        <f t="shared" si="840"/>
        <v>20180423</v>
      </c>
      <c r="C1282" s="4" t="str">
        <f>"ETF 申购退款"</f>
        <v>ETF 申购退款</v>
      </c>
      <c r="D1282" s="4" t="str">
        <f>"511990"</f>
        <v>511990</v>
      </c>
      <c r="E1282" s="4" t="str">
        <f>"华宝添益"</f>
        <v>华宝添益</v>
      </c>
      <c r="F1282" s="4">
        <v>0</v>
      </c>
      <c r="G1282" s="4">
        <v>0</v>
      </c>
      <c r="H1282" s="4">
        <v>190019.64</v>
      </c>
      <c r="I1282" s="12">
        <v>190019.64</v>
      </c>
      <c r="J1282" s="4">
        <v>190618.53</v>
      </c>
      <c r="K1282" s="4">
        <v>0</v>
      </c>
    </row>
    <row r="1283" spans="1:11">
      <c r="A1283" s="4" t="str">
        <f>"20180425"</f>
        <v>20180425</v>
      </c>
      <c r="B1283" s="4" t="str">
        <f>"20180425"</f>
        <v>20180425</v>
      </c>
      <c r="C1283" s="4" t="str">
        <f>"证券转银行"</f>
        <v>证券转银行</v>
      </c>
      <c r="D1283" s="4"/>
      <c r="E1283" s="4"/>
      <c r="F1283" s="4">
        <v>0</v>
      </c>
      <c r="G1283" s="4">
        <v>0</v>
      </c>
      <c r="H1283" s="4">
        <v>0</v>
      </c>
      <c r="I1283" s="12">
        <v>-160000</v>
      </c>
      <c r="J1283" s="4">
        <v>30618.53</v>
      </c>
      <c r="K1283" s="4">
        <v>0</v>
      </c>
    </row>
    <row r="1284" spans="1:11">
      <c r="A1284" s="4" t="str">
        <f>"20180425"</f>
        <v>20180425</v>
      </c>
      <c r="B1284" s="4" t="str">
        <f>"20180425"</f>
        <v>20180425</v>
      </c>
      <c r="C1284" s="4" t="str">
        <f>"基金申购拨出"</f>
        <v>基金申购拨出</v>
      </c>
      <c r="D1284" s="4" t="str">
        <f t="shared" ref="D1284:D1287" si="841">"AA0007"</f>
        <v>AA0007</v>
      </c>
      <c r="E1284" s="4" t="str">
        <f t="shared" ref="E1284:E1287" si="842">"银河水星1号集合"</f>
        <v>银河水星1号集合</v>
      </c>
      <c r="F1284" s="4">
        <v>0</v>
      </c>
      <c r="G1284" s="4">
        <v>0</v>
      </c>
      <c r="H1284" s="4">
        <v>0</v>
      </c>
      <c r="I1284" s="12">
        <v>-30618.53</v>
      </c>
      <c r="J1284" s="4">
        <v>0</v>
      </c>
      <c r="K1284" s="4">
        <v>0</v>
      </c>
    </row>
    <row r="1285" spans="1:11">
      <c r="A1285" s="4" t="str">
        <f>"20180426"</f>
        <v>20180426</v>
      </c>
      <c r="B1285" s="4" t="str">
        <f>"20180426"</f>
        <v>20180426</v>
      </c>
      <c r="C1285" s="4" t="str">
        <f t="shared" ref="C1285:C1290" si="843">"基金赎回拨入"</f>
        <v>基金赎回拨入</v>
      </c>
      <c r="D1285" s="4" t="str">
        <f t="shared" si="841"/>
        <v>AA0007</v>
      </c>
      <c r="E1285" s="4" t="str">
        <f t="shared" si="842"/>
        <v>银河水星1号集合</v>
      </c>
      <c r="F1285" s="4">
        <v>0</v>
      </c>
      <c r="G1285" s="4">
        <v>9456</v>
      </c>
      <c r="H1285" s="4">
        <v>0</v>
      </c>
      <c r="I1285" s="12">
        <v>9456</v>
      </c>
      <c r="J1285" s="4">
        <v>9456</v>
      </c>
      <c r="K1285" s="4">
        <v>0</v>
      </c>
    </row>
    <row r="1286" spans="1:11">
      <c r="A1286" s="4" t="str">
        <f>"20180427"</f>
        <v>20180427</v>
      </c>
      <c r="B1286" s="4" t="str">
        <f>"20180427"</f>
        <v>20180427</v>
      </c>
      <c r="C1286" s="4" t="str">
        <f t="shared" ref="C1286:C1289" si="844">"证券买入"</f>
        <v>证券买入</v>
      </c>
      <c r="D1286" s="4" t="str">
        <f>"000601"</f>
        <v>000601</v>
      </c>
      <c r="E1286" s="4" t="str">
        <f>"韶能股份"</f>
        <v>韶能股份</v>
      </c>
      <c r="F1286" s="4">
        <v>6.3</v>
      </c>
      <c r="G1286" s="4">
        <v>1500</v>
      </c>
      <c r="H1286" s="4">
        <v>9450</v>
      </c>
      <c r="I1286" s="12">
        <v>-9455</v>
      </c>
      <c r="J1286" s="4">
        <v>1</v>
      </c>
      <c r="K1286" s="4">
        <v>26700</v>
      </c>
    </row>
    <row r="1287" spans="1:11">
      <c r="A1287" s="4" t="str">
        <f t="shared" ref="A1287:A1289" si="845">"20180601"</f>
        <v>20180601</v>
      </c>
      <c r="B1287" s="4" t="str">
        <f t="shared" ref="B1287:B1289" si="846">"20180601"</f>
        <v>20180601</v>
      </c>
      <c r="C1287" s="4" t="str">
        <f t="shared" si="843"/>
        <v>基金赎回拨入</v>
      </c>
      <c r="D1287" s="4" t="str">
        <f t="shared" si="841"/>
        <v>AA0007</v>
      </c>
      <c r="E1287" s="4" t="str">
        <f t="shared" si="842"/>
        <v>银河水星1号集合</v>
      </c>
      <c r="F1287" s="4">
        <v>0</v>
      </c>
      <c r="G1287" s="4">
        <v>17550</v>
      </c>
      <c r="H1287" s="4">
        <v>0</v>
      </c>
      <c r="I1287" s="12">
        <v>17550</v>
      </c>
      <c r="J1287" s="4">
        <v>17551</v>
      </c>
      <c r="K1287" s="4">
        <v>0</v>
      </c>
    </row>
    <row r="1288" spans="1:11">
      <c r="A1288" s="4" t="str">
        <f t="shared" si="845"/>
        <v>20180601</v>
      </c>
      <c r="B1288" s="4" t="str">
        <f t="shared" si="846"/>
        <v>20180601</v>
      </c>
      <c r="C1288" s="4" t="str">
        <f t="shared" si="844"/>
        <v>证券买入</v>
      </c>
      <c r="D1288" s="4" t="str">
        <f>"000768"</f>
        <v>000768</v>
      </c>
      <c r="E1288" s="4" t="str">
        <f>"中航飞机"</f>
        <v>中航飞机</v>
      </c>
      <c r="F1288" s="4">
        <v>15.6</v>
      </c>
      <c r="G1288" s="4">
        <v>500</v>
      </c>
      <c r="H1288" s="4">
        <v>7800</v>
      </c>
      <c r="I1288" s="12">
        <v>-7805</v>
      </c>
      <c r="J1288" s="4">
        <v>9746</v>
      </c>
      <c r="K1288" s="4">
        <v>500</v>
      </c>
    </row>
    <row r="1289" spans="1:11">
      <c r="A1289" s="4" t="str">
        <f t="shared" si="845"/>
        <v>20180601</v>
      </c>
      <c r="B1289" s="4" t="str">
        <f t="shared" si="846"/>
        <v>20180601</v>
      </c>
      <c r="C1289" s="4" t="str">
        <f t="shared" si="844"/>
        <v>证券买入</v>
      </c>
      <c r="D1289" s="4" t="str">
        <f>"150153"</f>
        <v>150153</v>
      </c>
      <c r="E1289" s="4" t="str">
        <f>"创业板B"</f>
        <v>创业板B</v>
      </c>
      <c r="F1289" s="4">
        <v>0.487</v>
      </c>
      <c r="G1289" s="4">
        <v>20000</v>
      </c>
      <c r="H1289" s="4">
        <v>9740</v>
      </c>
      <c r="I1289" s="12">
        <v>-9745</v>
      </c>
      <c r="J1289" s="4">
        <v>1</v>
      </c>
      <c r="K1289" s="4">
        <v>20000</v>
      </c>
    </row>
    <row r="1290" spans="1:11">
      <c r="A1290" s="4" t="str">
        <f t="shared" ref="A1290:A1292" si="847">"20180605"</f>
        <v>20180605</v>
      </c>
      <c r="B1290" s="4" t="str">
        <f t="shared" ref="B1290:B1292" si="848">"20180605"</f>
        <v>20180605</v>
      </c>
      <c r="C1290" s="4" t="str">
        <f t="shared" si="843"/>
        <v>基金赎回拨入</v>
      </c>
      <c r="D1290" s="4" t="str">
        <f t="shared" ref="D1290:D1295" si="849">"AA0007"</f>
        <v>AA0007</v>
      </c>
      <c r="E1290" s="4" t="str">
        <f t="shared" ref="E1290:E1295" si="850">"银河水星1号集合"</f>
        <v>银河水星1号集合</v>
      </c>
      <c r="F1290" s="4">
        <v>0</v>
      </c>
      <c r="G1290" s="4">
        <v>3612</v>
      </c>
      <c r="H1290" s="4">
        <v>0</v>
      </c>
      <c r="I1290" s="12">
        <v>3612.53</v>
      </c>
      <c r="J1290" s="4">
        <v>3613.53</v>
      </c>
      <c r="K1290" s="4">
        <v>0</v>
      </c>
    </row>
    <row r="1291" spans="1:11">
      <c r="A1291" s="4" t="str">
        <f t="shared" si="847"/>
        <v>20180605</v>
      </c>
      <c r="B1291" s="4" t="str">
        <f t="shared" si="848"/>
        <v>20180605</v>
      </c>
      <c r="C1291" s="4" t="str">
        <f>"证券卖出"</f>
        <v>证券卖出</v>
      </c>
      <c r="D1291" s="4" t="str">
        <f>"150153"</f>
        <v>150153</v>
      </c>
      <c r="E1291" s="4" t="str">
        <f>"创业板B"</f>
        <v>创业板B</v>
      </c>
      <c r="F1291" s="4">
        <v>0.518</v>
      </c>
      <c r="G1291" s="4">
        <v>20000</v>
      </c>
      <c r="H1291" s="4">
        <v>10360</v>
      </c>
      <c r="I1291" s="12">
        <v>10355</v>
      </c>
      <c r="J1291" s="4">
        <v>13968.53</v>
      </c>
      <c r="K1291" s="4">
        <v>0</v>
      </c>
    </row>
    <row r="1292" spans="1:11">
      <c r="A1292" s="4" t="str">
        <f t="shared" si="847"/>
        <v>20180605</v>
      </c>
      <c r="B1292" s="4" t="str">
        <f t="shared" si="848"/>
        <v>20180605</v>
      </c>
      <c r="C1292" s="4" t="str">
        <f>"证券买入"</f>
        <v>证券买入</v>
      </c>
      <c r="D1292" s="4" t="str">
        <f>"000601"</f>
        <v>000601</v>
      </c>
      <c r="E1292" s="4" t="str">
        <f>"韶能股份"</f>
        <v>韶能股份</v>
      </c>
      <c r="F1292" s="4">
        <v>6.02</v>
      </c>
      <c r="G1292" s="4">
        <v>2300</v>
      </c>
      <c r="H1292" s="4">
        <v>13846</v>
      </c>
      <c r="I1292" s="12">
        <v>-13851</v>
      </c>
      <c r="J1292" s="4">
        <v>117.53</v>
      </c>
      <c r="K1292" s="4">
        <v>29000</v>
      </c>
    </row>
    <row r="1293" spans="1:11">
      <c r="A1293" s="4" t="str">
        <f>"20180606"</f>
        <v>20180606</v>
      </c>
      <c r="B1293" s="4" t="str">
        <f>"20180606"</f>
        <v>20180606</v>
      </c>
      <c r="C1293" s="4" t="str">
        <f>"基金申购拨出"</f>
        <v>基金申购拨出</v>
      </c>
      <c r="D1293" s="4" t="str">
        <f t="shared" si="849"/>
        <v>AA0007</v>
      </c>
      <c r="E1293" s="4" t="str">
        <f t="shared" si="850"/>
        <v>银河水星1号集合</v>
      </c>
      <c r="F1293" s="4">
        <v>0</v>
      </c>
      <c r="G1293" s="4">
        <v>0</v>
      </c>
      <c r="H1293" s="4">
        <v>0</v>
      </c>
      <c r="I1293" s="12">
        <v>-8178.45</v>
      </c>
      <c r="J1293" s="4">
        <v>-8060.92</v>
      </c>
      <c r="K1293" s="4">
        <v>0</v>
      </c>
    </row>
    <row r="1294" spans="1:11">
      <c r="A1294" s="4" t="str">
        <f>"20180606"</f>
        <v>20180606</v>
      </c>
      <c r="B1294" s="4" t="str">
        <f>"20180606"</f>
        <v>20180606</v>
      </c>
      <c r="C1294" s="4" t="str">
        <f>"证券卖出"</f>
        <v>证券卖出</v>
      </c>
      <c r="D1294" s="4" t="str">
        <f>"000768"</f>
        <v>000768</v>
      </c>
      <c r="E1294" s="4" t="str">
        <f>"中航飞机"</f>
        <v>中航飞机</v>
      </c>
      <c r="F1294" s="4">
        <v>16.15</v>
      </c>
      <c r="G1294" s="4">
        <v>500</v>
      </c>
      <c r="H1294" s="4">
        <v>8075</v>
      </c>
      <c r="I1294" s="12">
        <v>8061.92</v>
      </c>
      <c r="J1294" s="4">
        <v>1</v>
      </c>
      <c r="K1294" s="4">
        <v>0</v>
      </c>
    </row>
    <row r="1295" spans="1:11">
      <c r="A1295" s="4" t="str">
        <f>"20180607"</f>
        <v>20180607</v>
      </c>
      <c r="B1295" s="4" t="str">
        <f>"20180607"</f>
        <v>20180607</v>
      </c>
      <c r="C1295" s="4" t="str">
        <f>"基金赎回拨入"</f>
        <v>基金赎回拨入</v>
      </c>
      <c r="D1295" s="4" t="str">
        <f t="shared" si="849"/>
        <v>AA0007</v>
      </c>
      <c r="E1295" s="4" t="str">
        <f t="shared" si="850"/>
        <v>银河水星1号集合</v>
      </c>
      <c r="F1295" s="4">
        <v>0</v>
      </c>
      <c r="G1295" s="4">
        <v>5155</v>
      </c>
      <c r="H1295" s="4">
        <v>0</v>
      </c>
      <c r="I1295" s="12">
        <v>5155</v>
      </c>
      <c r="J1295" s="4">
        <v>5156</v>
      </c>
      <c r="K1295" s="4">
        <v>0</v>
      </c>
    </row>
    <row r="1296" spans="1:11">
      <c r="A1296" s="4" t="str">
        <f>"20180607"</f>
        <v>20180607</v>
      </c>
      <c r="B1296" s="4" t="str">
        <f>"20180607"</f>
        <v>20180607</v>
      </c>
      <c r="C1296" s="4" t="str">
        <f>"证券买入"</f>
        <v>证券买入</v>
      </c>
      <c r="D1296" s="4" t="str">
        <f>"150153"</f>
        <v>150153</v>
      </c>
      <c r="E1296" s="4" t="str">
        <f>"创业板B"</f>
        <v>创业板B</v>
      </c>
      <c r="F1296" s="4">
        <v>0.515</v>
      </c>
      <c r="G1296" s="4">
        <v>10000</v>
      </c>
      <c r="H1296" s="4">
        <v>5150</v>
      </c>
      <c r="I1296" s="12">
        <v>-5155</v>
      </c>
      <c r="J1296" s="4">
        <v>1</v>
      </c>
      <c r="K1296" s="4">
        <v>10000</v>
      </c>
    </row>
    <row r="1297" spans="1:11">
      <c r="A1297" s="4" t="str">
        <f>"20180608"</f>
        <v>20180608</v>
      </c>
      <c r="B1297" s="4" t="str">
        <f>"20180608"</f>
        <v>20180608</v>
      </c>
      <c r="C1297" s="4" t="str">
        <f>"基金赎回拨入"</f>
        <v>基金赎回拨入</v>
      </c>
      <c r="D1297" s="4" t="str">
        <f>"AA0007"</f>
        <v>AA0007</v>
      </c>
      <c r="E1297" s="4" t="str">
        <f>"银河水星1号集合"</f>
        <v>银河水星1号集合</v>
      </c>
      <c r="F1297" s="4">
        <v>0</v>
      </c>
      <c r="G1297" s="4">
        <v>3023</v>
      </c>
      <c r="H1297" s="4">
        <v>0</v>
      </c>
      <c r="I1297" s="12">
        <v>3023.45</v>
      </c>
      <c r="J1297" s="4">
        <v>3024.45</v>
      </c>
      <c r="K1297" s="4">
        <v>0</v>
      </c>
    </row>
    <row r="1298" spans="1:11">
      <c r="A1298" s="4" t="str">
        <f>"20180608"</f>
        <v>20180608</v>
      </c>
      <c r="B1298" s="4" t="str">
        <f>"20180608"</f>
        <v>20180608</v>
      </c>
      <c r="C1298" s="4" t="str">
        <f>"证券买入"</f>
        <v>证券买入</v>
      </c>
      <c r="D1298" s="4" t="str">
        <f>"150153"</f>
        <v>150153</v>
      </c>
      <c r="E1298" s="4" t="str">
        <f>"创业板B"</f>
        <v>创业板B</v>
      </c>
      <c r="F1298" s="4">
        <v>0.497</v>
      </c>
      <c r="G1298" s="4">
        <v>6000</v>
      </c>
      <c r="H1298" s="4">
        <v>2982</v>
      </c>
      <c r="I1298" s="12">
        <v>-2987</v>
      </c>
      <c r="J1298" s="4">
        <v>37.45</v>
      </c>
      <c r="K1298" s="4">
        <v>16000</v>
      </c>
    </row>
    <row r="1299" spans="1:11">
      <c r="A1299" s="4" t="str">
        <f>"20180620"</f>
        <v>20180620</v>
      </c>
      <c r="B1299" s="4" t="str">
        <f>"20180620"</f>
        <v>20180620</v>
      </c>
      <c r="C1299" s="4" t="str">
        <f>"利息归本"</f>
        <v>利息归本</v>
      </c>
      <c r="D1299" s="4"/>
      <c r="E1299" s="4"/>
      <c r="F1299" s="4">
        <v>0</v>
      </c>
      <c r="G1299" s="4">
        <v>0</v>
      </c>
      <c r="H1299" s="4">
        <v>0</v>
      </c>
      <c r="I1299" s="12">
        <v>5.32</v>
      </c>
      <c r="J1299" s="4">
        <v>42.77</v>
      </c>
      <c r="K1299" s="4">
        <v>0</v>
      </c>
    </row>
    <row r="1300" spans="1:11">
      <c r="A1300" s="4" t="str">
        <f>"20180621"</f>
        <v>20180621</v>
      </c>
      <c r="B1300" s="4" t="str">
        <f>"0"</f>
        <v>0</v>
      </c>
      <c r="C1300" s="4" t="str">
        <f>"基金红利拨入"</f>
        <v>基金红利拨入</v>
      </c>
      <c r="D1300" s="4" t="str">
        <f>"AA0007"</f>
        <v>AA0007</v>
      </c>
      <c r="E1300" s="4" t="str">
        <f>"银河水星1号集合"</f>
        <v>银河水星1号集合</v>
      </c>
      <c r="F1300" s="4">
        <v>0</v>
      </c>
      <c r="G1300" s="4">
        <v>0</v>
      </c>
      <c r="H1300" s="4">
        <v>178.64</v>
      </c>
      <c r="I1300" s="12">
        <v>178.64</v>
      </c>
      <c r="J1300" s="4">
        <v>221.41</v>
      </c>
      <c r="K1300" s="4">
        <v>0</v>
      </c>
    </row>
    <row r="1301" spans="1:11">
      <c r="A1301" s="4" t="str">
        <f>"20180626"</f>
        <v>20180626</v>
      </c>
      <c r="B1301" s="4" t="str">
        <f>"20180626"</f>
        <v>20180626</v>
      </c>
      <c r="C1301" s="4" t="str">
        <f>"银行转证券"</f>
        <v>银行转证券</v>
      </c>
      <c r="D1301" s="4"/>
      <c r="E1301" s="4"/>
      <c r="F1301" s="4">
        <v>0</v>
      </c>
      <c r="G1301" s="4">
        <v>0</v>
      </c>
      <c r="H1301" s="4">
        <v>0</v>
      </c>
      <c r="I1301" s="12">
        <v>5030.69</v>
      </c>
      <c r="J1301" s="4">
        <v>5252.1</v>
      </c>
      <c r="K1301" s="4">
        <v>0</v>
      </c>
    </row>
    <row r="1302" spans="1:11">
      <c r="A1302" s="4" t="str">
        <f>"20180626"</f>
        <v>20180626</v>
      </c>
      <c r="B1302" s="4" t="str">
        <f>"20180626"</f>
        <v>20180626</v>
      </c>
      <c r="C1302" s="4" t="str">
        <f>"证券买入"</f>
        <v>证券买入</v>
      </c>
      <c r="D1302" s="4" t="str">
        <f t="shared" ref="D1302:D1307" si="851">"000601"</f>
        <v>000601</v>
      </c>
      <c r="E1302" s="4" t="str">
        <f t="shared" ref="E1302:E1307" si="852">"韶能股份"</f>
        <v>韶能股份</v>
      </c>
      <c r="F1302" s="4">
        <v>4.28</v>
      </c>
      <c r="G1302" s="4">
        <v>1200</v>
      </c>
      <c r="H1302" s="4">
        <v>5136</v>
      </c>
      <c r="I1302" s="12">
        <v>-5141</v>
      </c>
      <c r="J1302" s="4">
        <v>111.1</v>
      </c>
      <c r="K1302" s="4">
        <v>30200</v>
      </c>
    </row>
    <row r="1303" spans="1:11">
      <c r="A1303" s="4" t="str">
        <f>"20180702"</f>
        <v>20180702</v>
      </c>
      <c r="B1303" s="4" t="str">
        <f>"20180702"</f>
        <v>20180702</v>
      </c>
      <c r="C1303" s="4" t="str">
        <f>"红利入账"</f>
        <v>红利入账</v>
      </c>
      <c r="D1303" s="4" t="str">
        <f>"002183"</f>
        <v>002183</v>
      </c>
      <c r="E1303" s="4" t="str">
        <f>"怡 亚 通"</f>
        <v>怡 亚 通</v>
      </c>
      <c r="F1303" s="4">
        <v>0</v>
      </c>
      <c r="G1303" s="4">
        <v>0</v>
      </c>
      <c r="H1303" s="4">
        <v>290</v>
      </c>
      <c r="I1303" s="12">
        <v>290</v>
      </c>
      <c r="J1303" s="4">
        <v>401.1</v>
      </c>
      <c r="K1303" s="4">
        <v>0</v>
      </c>
    </row>
    <row r="1304" spans="1:11">
      <c r="A1304" s="4" t="str">
        <f>"20180801"</f>
        <v>20180801</v>
      </c>
      <c r="B1304" s="4" t="str">
        <f>"20180801"</f>
        <v>20180801</v>
      </c>
      <c r="C1304" s="4" t="str">
        <f>"证券卖出"</f>
        <v>证券卖出</v>
      </c>
      <c r="D1304" s="4" t="str">
        <f t="shared" si="851"/>
        <v>000601</v>
      </c>
      <c r="E1304" s="4" t="str">
        <f t="shared" si="852"/>
        <v>韶能股份</v>
      </c>
      <c r="F1304" s="4">
        <v>5.06</v>
      </c>
      <c r="G1304" s="4">
        <v>1200</v>
      </c>
      <c r="H1304" s="4">
        <v>6072</v>
      </c>
      <c r="I1304" s="12">
        <v>6060.93</v>
      </c>
      <c r="J1304" s="4">
        <v>6462.03</v>
      </c>
      <c r="K1304" s="4">
        <v>29000</v>
      </c>
    </row>
    <row r="1305" spans="1:11">
      <c r="A1305" s="4" t="str">
        <f>"20180801"</f>
        <v>20180801</v>
      </c>
      <c r="B1305" s="4" t="str">
        <f>"20180801"</f>
        <v>20180801</v>
      </c>
      <c r="C1305" s="4" t="str">
        <f>"证券买入"</f>
        <v>证券买入</v>
      </c>
      <c r="D1305" s="4" t="str">
        <f>"150182"</f>
        <v>150182</v>
      </c>
      <c r="E1305" s="4" t="str">
        <f>"军工B"</f>
        <v>军工B</v>
      </c>
      <c r="F1305" s="4">
        <v>0.473</v>
      </c>
      <c r="G1305" s="4">
        <v>13600</v>
      </c>
      <c r="H1305" s="4">
        <v>6432.8</v>
      </c>
      <c r="I1305" s="12">
        <v>-6437.8</v>
      </c>
      <c r="J1305" s="4">
        <v>24.23</v>
      </c>
      <c r="K1305" s="4">
        <v>13600</v>
      </c>
    </row>
    <row r="1306" spans="1:11">
      <c r="A1306" s="4" t="str">
        <f>"20180808"</f>
        <v>20180808</v>
      </c>
      <c r="B1306" s="4" t="str">
        <f>"20180808"</f>
        <v>20180808</v>
      </c>
      <c r="C1306" s="4" t="str">
        <f>"基金下折"</f>
        <v>基金下折</v>
      </c>
      <c r="D1306" s="4" t="str">
        <f>"150153"</f>
        <v>150153</v>
      </c>
      <c r="E1306" s="4" t="str">
        <f>"创业板B"</f>
        <v>创业板B</v>
      </c>
      <c r="F1306" s="4">
        <v>0</v>
      </c>
      <c r="G1306" s="4">
        <v>11729</v>
      </c>
      <c r="H1306" s="4">
        <v>0</v>
      </c>
      <c r="I1306" s="12">
        <v>0</v>
      </c>
      <c r="J1306" s="4">
        <v>24.23</v>
      </c>
      <c r="K1306" s="4">
        <v>4271</v>
      </c>
    </row>
    <row r="1307" spans="1:11">
      <c r="A1307" s="4" t="str">
        <f>"20180816"</f>
        <v>20180816</v>
      </c>
      <c r="B1307" s="4" t="str">
        <f>"20180816"</f>
        <v>20180816</v>
      </c>
      <c r="C1307" s="4" t="str">
        <f>"红利入账"</f>
        <v>红利入账</v>
      </c>
      <c r="D1307" s="4" t="str">
        <f t="shared" si="851"/>
        <v>000601</v>
      </c>
      <c r="E1307" s="4" t="str">
        <f t="shared" si="852"/>
        <v>韶能股份</v>
      </c>
      <c r="F1307" s="4">
        <v>0</v>
      </c>
      <c r="G1307" s="4">
        <v>0</v>
      </c>
      <c r="H1307" s="4">
        <v>6380</v>
      </c>
      <c r="I1307" s="12">
        <v>6380</v>
      </c>
      <c r="J1307" s="4">
        <v>6404.23</v>
      </c>
      <c r="K1307" s="4">
        <v>0</v>
      </c>
    </row>
    <row r="1308" spans="1:11">
      <c r="A1308" s="4" t="str">
        <f>"20180817"</f>
        <v>20180817</v>
      </c>
      <c r="B1308" s="4" t="str">
        <f>"20180817"</f>
        <v>20180817</v>
      </c>
      <c r="C1308" s="4" t="str">
        <f>"基金申购拨出"</f>
        <v>基金申购拨出</v>
      </c>
      <c r="D1308" s="4" t="str">
        <f t="shared" ref="D1308:D1312" si="853">"AA0007"</f>
        <v>AA0007</v>
      </c>
      <c r="E1308" s="4" t="str">
        <f t="shared" ref="E1308:E1312" si="854">"银河水星1号集合"</f>
        <v>银河水星1号集合</v>
      </c>
      <c r="F1308" s="4">
        <v>0</v>
      </c>
      <c r="G1308" s="4">
        <v>0</v>
      </c>
      <c r="H1308" s="4">
        <v>0</v>
      </c>
      <c r="I1308" s="12">
        <v>-6404.23</v>
      </c>
      <c r="J1308" s="4">
        <v>0</v>
      </c>
      <c r="K1308" s="4">
        <v>0</v>
      </c>
    </row>
    <row r="1309" spans="1:11">
      <c r="A1309" s="4" t="str">
        <f>"20180821"</f>
        <v>20180821</v>
      </c>
      <c r="B1309" s="4" t="str">
        <f>"20180821"</f>
        <v>20180821</v>
      </c>
      <c r="C1309" s="4" t="str">
        <f>"基金赎回拨入"</f>
        <v>基金赎回拨入</v>
      </c>
      <c r="D1309" s="4" t="str">
        <f t="shared" si="853"/>
        <v>AA0007</v>
      </c>
      <c r="E1309" s="4" t="str">
        <f t="shared" si="854"/>
        <v>银河水星1号集合</v>
      </c>
      <c r="F1309" s="4">
        <v>0</v>
      </c>
      <c r="G1309" s="4">
        <v>6404</v>
      </c>
      <c r="H1309" s="4">
        <v>0</v>
      </c>
      <c r="I1309" s="12">
        <v>6404.23</v>
      </c>
      <c r="J1309" s="4">
        <v>6404.23</v>
      </c>
      <c r="K1309" s="4">
        <v>0</v>
      </c>
    </row>
    <row r="1310" spans="1:11">
      <c r="A1310" s="4" t="str">
        <f>"20180821"</f>
        <v>20180821</v>
      </c>
      <c r="B1310" s="4" t="str">
        <f>"20180821"</f>
        <v>20180821</v>
      </c>
      <c r="C1310" s="4" t="str">
        <f>"证券买入"</f>
        <v>证券买入</v>
      </c>
      <c r="D1310" s="4" t="str">
        <f>"002183"</f>
        <v>002183</v>
      </c>
      <c r="E1310" s="4" t="str">
        <f>"怡 亚 通"</f>
        <v>怡 亚 通</v>
      </c>
      <c r="F1310" s="4">
        <v>6.12</v>
      </c>
      <c r="G1310" s="4">
        <v>1000</v>
      </c>
      <c r="H1310" s="4">
        <v>6120</v>
      </c>
      <c r="I1310" s="12">
        <v>-6125</v>
      </c>
      <c r="J1310" s="4">
        <v>279.23</v>
      </c>
      <c r="K1310" s="4">
        <v>6000</v>
      </c>
    </row>
    <row r="1311" spans="1:11">
      <c r="A1311" s="4" t="str">
        <f>"20180903"</f>
        <v>20180903</v>
      </c>
      <c r="B1311" s="4" t="str">
        <f>"20180903"</f>
        <v>20180903</v>
      </c>
      <c r="C1311" s="4" t="str">
        <f>"股份转出"</f>
        <v>股份转出</v>
      </c>
      <c r="D1311" s="4" t="str">
        <f>"000601"</f>
        <v>000601</v>
      </c>
      <c r="E1311" s="4" t="str">
        <f>"韶能股份"</f>
        <v>韶能股份</v>
      </c>
      <c r="F1311" s="4">
        <v>0</v>
      </c>
      <c r="G1311" s="4">
        <v>29000</v>
      </c>
      <c r="H1311" s="4">
        <v>0</v>
      </c>
      <c r="I1311" s="12">
        <v>0</v>
      </c>
      <c r="J1311" s="4">
        <v>279.23</v>
      </c>
      <c r="K1311" s="4">
        <v>0</v>
      </c>
    </row>
    <row r="1312" spans="1:11">
      <c r="A1312" s="4" t="str">
        <f>"20180904"</f>
        <v>20180904</v>
      </c>
      <c r="B1312" s="4" t="str">
        <f>"20180904"</f>
        <v>20180904</v>
      </c>
      <c r="C1312" s="4" t="str">
        <f>"基金申购拨出"</f>
        <v>基金申购拨出</v>
      </c>
      <c r="D1312" s="4" t="str">
        <f t="shared" si="853"/>
        <v>AA0007</v>
      </c>
      <c r="E1312" s="4" t="str">
        <f t="shared" si="854"/>
        <v>银河水星1号集合</v>
      </c>
      <c r="F1312" s="4">
        <v>0</v>
      </c>
      <c r="G1312" s="4">
        <v>0</v>
      </c>
      <c r="H1312" s="4">
        <v>0</v>
      </c>
      <c r="I1312" s="12">
        <v>-6287.21</v>
      </c>
      <c r="J1312" s="4">
        <v>-6007.98</v>
      </c>
      <c r="K1312" s="4">
        <v>0</v>
      </c>
    </row>
    <row r="1313" spans="1:11">
      <c r="A1313" s="4" t="str">
        <f>"20180904"</f>
        <v>20180904</v>
      </c>
      <c r="B1313" s="4" t="str">
        <f>"20180904"</f>
        <v>20180904</v>
      </c>
      <c r="C1313" s="4" t="str">
        <f>"证券卖出"</f>
        <v>证券卖出</v>
      </c>
      <c r="D1313" s="4" t="str">
        <f>"002183"</f>
        <v>002183</v>
      </c>
      <c r="E1313" s="4" t="str">
        <f>"怡 亚 通"</f>
        <v>怡 亚 通</v>
      </c>
      <c r="F1313" s="4">
        <v>6.02</v>
      </c>
      <c r="G1313" s="4">
        <v>1000</v>
      </c>
      <c r="H1313" s="4">
        <v>6020</v>
      </c>
      <c r="I1313" s="12">
        <v>6008.98</v>
      </c>
      <c r="J1313" s="4">
        <v>1</v>
      </c>
      <c r="K1313" s="4">
        <v>5000</v>
      </c>
    </row>
    <row r="1314" spans="1:11">
      <c r="A1314" s="4" t="str">
        <f t="shared" ref="A1314:A1317" si="855">"20180914"</f>
        <v>20180914</v>
      </c>
      <c r="B1314" s="4" t="str">
        <f t="shared" ref="B1314:B1317" si="856">"20180914"</f>
        <v>20180914</v>
      </c>
      <c r="C1314" s="4" t="str">
        <f>"资管计划实时取现"</f>
        <v>资管计划实时取现</v>
      </c>
      <c r="D1314" s="4" t="str">
        <f>"119931"</f>
        <v>119931</v>
      </c>
      <c r="E1314" s="4" t="str">
        <f>"水星1号"</f>
        <v>水星1号</v>
      </c>
      <c r="F1314" s="4">
        <v>0</v>
      </c>
      <c r="G1314" s="4">
        <v>0</v>
      </c>
      <c r="H1314" s="4">
        <v>6000</v>
      </c>
      <c r="I1314" s="12">
        <v>6000</v>
      </c>
      <c r="J1314" s="4">
        <v>6001</v>
      </c>
      <c r="K1314" s="4">
        <v>0</v>
      </c>
    </row>
    <row r="1315" spans="1:11">
      <c r="A1315" s="4" t="str">
        <f t="shared" si="855"/>
        <v>20180914</v>
      </c>
      <c r="B1315" s="4" t="str">
        <f t="shared" si="856"/>
        <v>20180914</v>
      </c>
      <c r="C1315" s="4" t="str">
        <f>"证券转银行"</f>
        <v>证券转银行</v>
      </c>
      <c r="D1315" s="4"/>
      <c r="E1315" s="4"/>
      <c r="F1315" s="4">
        <v>0</v>
      </c>
      <c r="G1315" s="4">
        <v>0</v>
      </c>
      <c r="H1315" s="4">
        <v>0</v>
      </c>
      <c r="I1315" s="12">
        <v>-6000</v>
      </c>
      <c r="J1315" s="4">
        <v>1</v>
      </c>
      <c r="K1315" s="4">
        <v>0</v>
      </c>
    </row>
    <row r="1316" spans="1:11">
      <c r="A1316" s="4" t="str">
        <f t="shared" si="855"/>
        <v>20180914</v>
      </c>
      <c r="B1316" s="4" t="str">
        <f t="shared" si="856"/>
        <v>20180914</v>
      </c>
      <c r="C1316" s="4" t="str">
        <f>"资管T0取现拨入"</f>
        <v>资管T0取现拨入</v>
      </c>
      <c r="D1316" s="4" t="str">
        <f>"AA0007"</f>
        <v>AA0007</v>
      </c>
      <c r="E1316" s="4" t="str">
        <f>"银河水星1号集合"</f>
        <v>银河水星1号集合</v>
      </c>
      <c r="F1316" s="4">
        <v>0</v>
      </c>
      <c r="G1316" s="4">
        <v>6000</v>
      </c>
      <c r="H1316" s="4">
        <v>6000</v>
      </c>
      <c r="I1316" s="12">
        <v>6000</v>
      </c>
      <c r="J1316" s="4">
        <v>6001</v>
      </c>
      <c r="K1316" s="4">
        <v>0</v>
      </c>
    </row>
    <row r="1317" spans="1:11">
      <c r="A1317" s="4" t="str">
        <f t="shared" si="855"/>
        <v>20180914</v>
      </c>
      <c r="B1317" s="4" t="str">
        <f t="shared" si="856"/>
        <v>20180914</v>
      </c>
      <c r="C1317" s="4" t="str">
        <f>"资管计划实时取现"</f>
        <v>资管计划实时取现</v>
      </c>
      <c r="D1317" s="4" t="str">
        <f>"119931"</f>
        <v>119931</v>
      </c>
      <c r="E1317" s="4" t="str">
        <f>"水星1号"</f>
        <v>水星1号</v>
      </c>
      <c r="F1317" s="4">
        <v>0</v>
      </c>
      <c r="G1317" s="4">
        <v>0</v>
      </c>
      <c r="H1317" s="4">
        <v>0</v>
      </c>
      <c r="I1317" s="12">
        <v>-6000</v>
      </c>
      <c r="J1317" s="4">
        <v>1</v>
      </c>
      <c r="K1317" s="4">
        <v>0</v>
      </c>
    </row>
    <row r="1318" spans="1:11">
      <c r="A1318" s="4" t="str">
        <f>"20180920"</f>
        <v>20180920</v>
      </c>
      <c r="B1318" s="4" t="str">
        <f>"20180920"</f>
        <v>20180920</v>
      </c>
      <c r="C1318" s="4" t="str">
        <f>"利息归本"</f>
        <v>利息归本</v>
      </c>
      <c r="D1318" s="4"/>
      <c r="E1318" s="4"/>
      <c r="F1318" s="4">
        <v>0</v>
      </c>
      <c r="G1318" s="4">
        <v>0</v>
      </c>
      <c r="H1318" s="4">
        <v>0</v>
      </c>
      <c r="I1318" s="12">
        <v>0.28</v>
      </c>
      <c r="J1318" s="4">
        <v>1.28</v>
      </c>
      <c r="K1318" s="4">
        <v>0</v>
      </c>
    </row>
    <row r="1319" spans="1:11">
      <c r="A1319" s="4" t="str">
        <f>"20180921"</f>
        <v>20180921</v>
      </c>
      <c r="B1319" s="4" t="str">
        <f>"0"</f>
        <v>0</v>
      </c>
      <c r="C1319" s="4" t="str">
        <f>"基金红利拨入"</f>
        <v>基金红利拨入</v>
      </c>
      <c r="D1319" s="4" t="str">
        <f>"AA0007"</f>
        <v>AA0007</v>
      </c>
      <c r="E1319" s="4" t="str">
        <f>"银河水星1号集合"</f>
        <v>银河水星1号集合</v>
      </c>
      <c r="F1319" s="4">
        <v>0</v>
      </c>
      <c r="G1319" s="4">
        <v>0</v>
      </c>
      <c r="H1319" s="4">
        <v>4.99</v>
      </c>
      <c r="I1319" s="12">
        <v>4.99</v>
      </c>
      <c r="J1319" s="4">
        <v>6.27</v>
      </c>
      <c r="K1319" s="4">
        <v>0</v>
      </c>
    </row>
    <row r="1320" spans="1:11">
      <c r="A1320" s="4" t="str">
        <f>"20181015"</f>
        <v>20181015</v>
      </c>
      <c r="B1320" s="4" t="str">
        <f>"20181015"</f>
        <v>20181015</v>
      </c>
      <c r="C1320" s="4" t="str">
        <f>"基金下折"</f>
        <v>基金下折</v>
      </c>
      <c r="D1320" s="4" t="str">
        <f>"161024"</f>
        <v>161024</v>
      </c>
      <c r="E1320" s="4" t="str">
        <f>"军工分级"</f>
        <v>军工分级</v>
      </c>
      <c r="F1320" s="4">
        <v>0</v>
      </c>
      <c r="G1320" s="4">
        <v>788</v>
      </c>
      <c r="H1320" s="4">
        <v>0</v>
      </c>
      <c r="I1320" s="12">
        <v>0</v>
      </c>
      <c r="J1320" s="4">
        <v>6.27</v>
      </c>
      <c r="K1320" s="4">
        <v>1388</v>
      </c>
    </row>
    <row r="1321" spans="1:11">
      <c r="A1321" s="4" t="str">
        <f>"20181015"</f>
        <v>20181015</v>
      </c>
      <c r="B1321" s="4" t="str">
        <f>"20181015"</f>
        <v>20181015</v>
      </c>
      <c r="C1321" s="4" t="str">
        <f>"基金下折"</f>
        <v>基金下折</v>
      </c>
      <c r="D1321" s="4" t="str">
        <f>"150182"</f>
        <v>150182</v>
      </c>
      <c r="E1321" s="4" t="str">
        <f>"军工B"</f>
        <v>军工B</v>
      </c>
      <c r="F1321" s="4">
        <v>0</v>
      </c>
      <c r="G1321" s="4">
        <v>10354</v>
      </c>
      <c r="H1321" s="4">
        <v>0</v>
      </c>
      <c r="I1321" s="12">
        <v>0</v>
      </c>
      <c r="J1321" s="4">
        <v>6.27</v>
      </c>
      <c r="K1321" s="4">
        <v>3246</v>
      </c>
    </row>
    <row r="1322" spans="1:11">
      <c r="A1322" s="4" t="str">
        <f>"20181203"</f>
        <v>20181203</v>
      </c>
      <c r="B1322" s="4" t="str">
        <f>"20181203"</f>
        <v>20181203</v>
      </c>
      <c r="C1322" s="4" t="str">
        <f>"债券兑息"</f>
        <v>债券兑息</v>
      </c>
      <c r="D1322" s="4" t="str">
        <f>"128023"</f>
        <v>128023</v>
      </c>
      <c r="E1322" s="4" t="str">
        <f>"亚太转债"</f>
        <v>亚太转债</v>
      </c>
      <c r="F1322" s="4">
        <v>0</v>
      </c>
      <c r="G1322" s="4">
        <v>0</v>
      </c>
      <c r="H1322" s="4">
        <v>3</v>
      </c>
      <c r="I1322" s="12">
        <v>3</v>
      </c>
      <c r="J1322" s="4">
        <v>9.27</v>
      </c>
      <c r="K1322" s="4">
        <v>0</v>
      </c>
    </row>
    <row r="1323" spans="1:11">
      <c r="A1323" s="4" t="str">
        <f>"20181203"</f>
        <v>20181203</v>
      </c>
      <c r="B1323" s="4" t="str">
        <f>"20181203"</f>
        <v>20181203</v>
      </c>
      <c r="C1323" s="4" t="str">
        <f>"债券兑息兑付扣税"</f>
        <v>债券兑息兑付扣税</v>
      </c>
      <c r="D1323" s="4" t="str">
        <f>"128023"</f>
        <v>128023</v>
      </c>
      <c r="E1323" s="4" t="str">
        <f>"亚太转债"</f>
        <v>亚太转债</v>
      </c>
      <c r="F1323" s="4">
        <v>0</v>
      </c>
      <c r="G1323" s="4">
        <v>0</v>
      </c>
      <c r="H1323" s="4">
        <v>0.6</v>
      </c>
      <c r="I1323" s="12">
        <v>-0.6</v>
      </c>
      <c r="J1323" s="4">
        <v>8.67</v>
      </c>
      <c r="K1323" s="4">
        <v>0</v>
      </c>
    </row>
    <row r="1324" spans="1:11">
      <c r="A1324" s="4" t="str">
        <f>"20181217"</f>
        <v>20181217</v>
      </c>
      <c r="B1324" s="4" t="str">
        <f>"20181217"</f>
        <v>20181217</v>
      </c>
      <c r="C1324" s="4" t="str">
        <f>"基金上折"</f>
        <v>基金上折</v>
      </c>
      <c r="D1324" s="4" t="str">
        <f>"161024"</f>
        <v>161024</v>
      </c>
      <c r="E1324" s="4" t="str">
        <f>"军工分级"</f>
        <v>军工分级</v>
      </c>
      <c r="F1324" s="4">
        <v>0</v>
      </c>
      <c r="G1324" s="4">
        <v>5</v>
      </c>
      <c r="H1324" s="4">
        <v>0</v>
      </c>
      <c r="I1324" s="12">
        <v>0</v>
      </c>
      <c r="J1324" s="4">
        <v>8.67</v>
      </c>
      <c r="K1324" s="4">
        <v>1393</v>
      </c>
    </row>
    <row r="1325" spans="1:11">
      <c r="A1325" s="4" t="str">
        <f>"20181220"</f>
        <v>20181220</v>
      </c>
      <c r="B1325" s="4" t="str">
        <f>"20181220"</f>
        <v>20181220</v>
      </c>
      <c r="C1325" s="4" t="str">
        <f>"利息归本"</f>
        <v>利息归本</v>
      </c>
      <c r="D1325" s="4"/>
      <c r="E1325" s="4"/>
      <c r="F1325" s="4">
        <v>0</v>
      </c>
      <c r="G1325" s="4">
        <v>0</v>
      </c>
      <c r="H1325" s="4">
        <v>0</v>
      </c>
      <c r="I1325" s="12">
        <v>0.01</v>
      </c>
      <c r="J1325" s="4">
        <v>8.68</v>
      </c>
      <c r="K1325" s="4">
        <v>0</v>
      </c>
    </row>
    <row r="1326" spans="1:11">
      <c r="A1326" s="4" t="str">
        <f>"20181221"</f>
        <v>20181221</v>
      </c>
      <c r="B1326" s="4" t="str">
        <f>"0"</f>
        <v>0</v>
      </c>
      <c r="C1326" s="4" t="str">
        <f>"基金红利拨入"</f>
        <v>基金红利拨入</v>
      </c>
      <c r="D1326" s="4" t="str">
        <f>"AA0007"</f>
        <v>AA0007</v>
      </c>
      <c r="E1326" s="4" t="str">
        <f>"银河水星1号集合"</f>
        <v>银河水星1号集合</v>
      </c>
      <c r="F1326" s="4">
        <v>0</v>
      </c>
      <c r="G1326" s="4">
        <v>0</v>
      </c>
      <c r="H1326" s="4">
        <v>1.36</v>
      </c>
      <c r="I1326" s="12">
        <v>1.36</v>
      </c>
      <c r="J1326" s="4">
        <v>10.04</v>
      </c>
      <c r="K1326" s="4">
        <v>0</v>
      </c>
    </row>
    <row r="1327" spans="1:11">
      <c r="A1327" s="4" t="str">
        <f>"20190315"</f>
        <v>20190315</v>
      </c>
      <c r="B1327" s="4" t="str">
        <f>"20190315"</f>
        <v>20190315</v>
      </c>
      <c r="C1327" s="4" t="str">
        <f>"银行转证券"</f>
        <v>银行转证券</v>
      </c>
      <c r="D1327" s="4"/>
      <c r="E1327" s="4"/>
      <c r="F1327" s="4">
        <v>0</v>
      </c>
      <c r="G1327" s="4">
        <v>0</v>
      </c>
      <c r="H1327" s="4">
        <v>0</v>
      </c>
      <c r="I1327" s="12">
        <v>2000</v>
      </c>
      <c r="J1327" s="4">
        <v>2010.04</v>
      </c>
      <c r="K1327" s="4">
        <v>0</v>
      </c>
    </row>
    <row r="1328" spans="1:11">
      <c r="A1328" s="4" t="str">
        <f>"20190315"</f>
        <v>20190315</v>
      </c>
      <c r="B1328" s="4" t="str">
        <f t="shared" ref="B1328:B1331" si="857">"20190313"</f>
        <v>20190313</v>
      </c>
      <c r="C1328" s="4" t="str">
        <f>"配售缴款"</f>
        <v>配售缴款</v>
      </c>
      <c r="D1328" s="4" t="str">
        <f t="shared" ref="D1328:D1331" si="858">"002958"</f>
        <v>002958</v>
      </c>
      <c r="E1328" s="4" t="str">
        <f t="shared" ref="E1328:E1331" si="859">"青农商行"</f>
        <v>青农商行</v>
      </c>
      <c r="F1328" s="4">
        <v>3.96</v>
      </c>
      <c r="G1328" s="4">
        <v>500</v>
      </c>
      <c r="H1328" s="4">
        <v>1980</v>
      </c>
      <c r="I1328" s="12">
        <v>-1980</v>
      </c>
      <c r="J1328" s="4">
        <v>30.04</v>
      </c>
      <c r="K1328" s="4">
        <v>0</v>
      </c>
    </row>
    <row r="1329" spans="1:11">
      <c r="A1329" s="4" t="str">
        <f>"20190318"</f>
        <v>20190318</v>
      </c>
      <c r="B1329" s="4" t="str">
        <f t="shared" si="857"/>
        <v>20190313</v>
      </c>
      <c r="C1329" s="4" t="str">
        <f>"配售股份"</f>
        <v>配售股份</v>
      </c>
      <c r="D1329" s="4" t="str">
        <f t="shared" si="858"/>
        <v>002958</v>
      </c>
      <c r="E1329" s="4" t="str">
        <f t="shared" si="859"/>
        <v>青农商行</v>
      </c>
      <c r="F1329" s="4">
        <v>3.96</v>
      </c>
      <c r="G1329" s="4">
        <v>500</v>
      </c>
      <c r="H1329" s="4">
        <v>1980</v>
      </c>
      <c r="I1329" s="12">
        <v>0</v>
      </c>
      <c r="J1329" s="4">
        <v>30.04</v>
      </c>
      <c r="K1329" s="4">
        <v>500</v>
      </c>
    </row>
    <row r="1330" spans="1:11">
      <c r="A1330" s="4" t="str">
        <f>"20190319"</f>
        <v>20190319</v>
      </c>
      <c r="B1330" s="4" t="str">
        <f t="shared" si="857"/>
        <v>20190313</v>
      </c>
      <c r="C1330" s="4" t="str">
        <f>"中签股份下账"</f>
        <v>中签股份下账</v>
      </c>
      <c r="D1330" s="4" t="str">
        <f t="shared" si="858"/>
        <v>002958</v>
      </c>
      <c r="E1330" s="4" t="str">
        <f t="shared" si="859"/>
        <v>青农商行</v>
      </c>
      <c r="F1330" s="4">
        <v>3.96</v>
      </c>
      <c r="G1330" s="4">
        <v>500</v>
      </c>
      <c r="H1330" s="4">
        <v>1980</v>
      </c>
      <c r="I1330" s="12">
        <v>0</v>
      </c>
      <c r="J1330" s="4">
        <v>30.04</v>
      </c>
      <c r="K1330" s="4">
        <v>0</v>
      </c>
    </row>
    <row r="1331" spans="1:11">
      <c r="A1331" s="4" t="str">
        <f>"20190319"</f>
        <v>20190319</v>
      </c>
      <c r="B1331" s="4" t="str">
        <f t="shared" si="857"/>
        <v>20190313</v>
      </c>
      <c r="C1331" s="4" t="str">
        <f>"新股入帐"</f>
        <v>新股入帐</v>
      </c>
      <c r="D1331" s="4" t="str">
        <f t="shared" si="858"/>
        <v>002958</v>
      </c>
      <c r="E1331" s="4" t="str">
        <f t="shared" si="859"/>
        <v>青农商行</v>
      </c>
      <c r="F1331" s="4">
        <v>3.96</v>
      </c>
      <c r="G1331" s="4">
        <v>500</v>
      </c>
      <c r="H1331" s="4">
        <v>0</v>
      </c>
      <c r="I1331" s="12">
        <v>0</v>
      </c>
      <c r="J1331" s="4">
        <v>30.04</v>
      </c>
      <c r="K1331" s="4">
        <v>500</v>
      </c>
    </row>
    <row r="1332" spans="1:11">
      <c r="A1332" s="4" t="str">
        <f>"20190320"</f>
        <v>20190320</v>
      </c>
      <c r="B1332" s="4" t="str">
        <f>"20190320"</f>
        <v>20190320</v>
      </c>
      <c r="C1332" s="4" t="str">
        <f>"利息归本"</f>
        <v>利息归本</v>
      </c>
      <c r="D1332" s="4"/>
      <c r="E1332" s="4"/>
      <c r="F1332" s="4">
        <v>0</v>
      </c>
      <c r="G1332" s="4">
        <v>0</v>
      </c>
      <c r="H1332" s="4">
        <v>0</v>
      </c>
      <c r="I1332" s="12">
        <v>0.01</v>
      </c>
      <c r="J1332" s="4">
        <v>30.05</v>
      </c>
      <c r="K1332" s="4">
        <v>0</v>
      </c>
    </row>
    <row r="1333" spans="1:11">
      <c r="A1333" s="4" t="str">
        <f>"20190321"</f>
        <v>20190321</v>
      </c>
      <c r="B1333" s="4" t="str">
        <f>"0"</f>
        <v>0</v>
      </c>
      <c r="C1333" s="4" t="str">
        <f>"基金红利拨入"</f>
        <v>基金红利拨入</v>
      </c>
      <c r="D1333" s="4" t="str">
        <f t="shared" ref="D1333:D1337" si="860">"AA0007"</f>
        <v>AA0007</v>
      </c>
      <c r="E1333" s="4" t="str">
        <f t="shared" ref="E1333:E1337" si="861">"银河水星1号集合"</f>
        <v>银河水星1号集合</v>
      </c>
      <c r="F1333" s="4">
        <v>0</v>
      </c>
      <c r="G1333" s="4">
        <v>0</v>
      </c>
      <c r="H1333" s="4">
        <v>1.27</v>
      </c>
      <c r="I1333" s="12">
        <v>1.27</v>
      </c>
      <c r="J1333" s="4">
        <v>31.32</v>
      </c>
      <c r="K1333" s="4">
        <v>0</v>
      </c>
    </row>
    <row r="1334" spans="1:11">
      <c r="A1334" s="4" t="str">
        <f>"20190403"</f>
        <v>20190403</v>
      </c>
      <c r="B1334" s="4" t="str">
        <f>"20190403"</f>
        <v>20190403</v>
      </c>
      <c r="C1334" s="4" t="str">
        <f>"基金申购拨出"</f>
        <v>基金申购拨出</v>
      </c>
      <c r="D1334" s="4" t="str">
        <f t="shared" si="860"/>
        <v>AA0007</v>
      </c>
      <c r="E1334" s="4" t="str">
        <f t="shared" si="861"/>
        <v>银河水星1号集合</v>
      </c>
      <c r="F1334" s="4">
        <v>0</v>
      </c>
      <c r="G1334" s="4">
        <v>0</v>
      </c>
      <c r="H1334" s="4">
        <v>0</v>
      </c>
      <c r="I1334" s="12">
        <v>-4775.56</v>
      </c>
      <c r="J1334" s="4">
        <v>-4744.24</v>
      </c>
      <c r="K1334" s="4">
        <v>0</v>
      </c>
    </row>
    <row r="1335" spans="1:11">
      <c r="A1335" s="4" t="str">
        <f>"20190403"</f>
        <v>20190403</v>
      </c>
      <c r="B1335" s="4" t="str">
        <f>"20190403"</f>
        <v>20190403</v>
      </c>
      <c r="C1335" s="4" t="str">
        <f>"证券卖出"</f>
        <v>证券卖出</v>
      </c>
      <c r="D1335" s="4" t="str">
        <f>"002958"</f>
        <v>002958</v>
      </c>
      <c r="E1335" s="4" t="str">
        <f>"青农商行"</f>
        <v>青农商行</v>
      </c>
      <c r="F1335" s="4">
        <v>9.51</v>
      </c>
      <c r="G1335" s="4">
        <v>500</v>
      </c>
      <c r="H1335" s="4">
        <v>4755</v>
      </c>
      <c r="I1335" s="12">
        <v>4745.24</v>
      </c>
      <c r="J1335" s="4">
        <v>1</v>
      </c>
      <c r="K1335" s="4">
        <v>0</v>
      </c>
    </row>
    <row r="1336" spans="1:11">
      <c r="A1336" s="4" t="str">
        <f>"20190417"</f>
        <v>20190417</v>
      </c>
      <c r="B1336" s="4" t="str">
        <f>"20190417"</f>
        <v>20190417</v>
      </c>
      <c r="C1336" s="4" t="str">
        <f>"基金赎回拨入"</f>
        <v>基金赎回拨入</v>
      </c>
      <c r="D1336" s="4" t="str">
        <f t="shared" si="860"/>
        <v>AA0007</v>
      </c>
      <c r="E1336" s="4" t="str">
        <f t="shared" si="861"/>
        <v>银河水星1号集合</v>
      </c>
      <c r="F1336" s="4">
        <v>0</v>
      </c>
      <c r="G1336" s="4">
        <v>2999</v>
      </c>
      <c r="H1336" s="4">
        <v>0</v>
      </c>
      <c r="I1336" s="12">
        <v>2999</v>
      </c>
      <c r="J1336" s="4">
        <v>3000</v>
      </c>
      <c r="K1336" s="4">
        <v>0</v>
      </c>
    </row>
    <row r="1337" spans="1:11">
      <c r="A1337" s="4" t="str">
        <f>"20190418"</f>
        <v>20190418</v>
      </c>
      <c r="B1337" s="4" t="str">
        <f>"20190418"</f>
        <v>20190418</v>
      </c>
      <c r="C1337" s="4" t="str">
        <f>"基金申购拨出"</f>
        <v>基金申购拨出</v>
      </c>
      <c r="D1337" s="4" t="str">
        <f t="shared" si="860"/>
        <v>AA0007</v>
      </c>
      <c r="E1337" s="4" t="str">
        <f t="shared" si="861"/>
        <v>银河水星1号集合</v>
      </c>
      <c r="F1337" s="4">
        <v>0</v>
      </c>
      <c r="G1337" s="4">
        <v>0</v>
      </c>
      <c r="H1337" s="4">
        <v>0</v>
      </c>
      <c r="I1337" s="12">
        <v>-3000</v>
      </c>
      <c r="J1337" s="4">
        <v>0</v>
      </c>
      <c r="K1337" s="4">
        <v>0</v>
      </c>
    </row>
    <row r="1338" spans="1:11">
      <c r="A1338" s="4" t="str">
        <f t="shared" ref="A1338:A1341" si="862">"20190524"</f>
        <v>20190524</v>
      </c>
      <c r="B1338" s="4" t="str">
        <f t="shared" ref="B1338:B1341" si="863">"20190524"</f>
        <v>20190524</v>
      </c>
      <c r="C1338" s="4" t="str">
        <f>"资管计划实时取现"</f>
        <v>资管计划实时取现</v>
      </c>
      <c r="D1338" s="4" t="str">
        <f>"119931"</f>
        <v>119931</v>
      </c>
      <c r="E1338" s="4" t="str">
        <f>"水星1号"</f>
        <v>水星1号</v>
      </c>
      <c r="F1338" s="4">
        <v>0</v>
      </c>
      <c r="G1338" s="4">
        <v>0</v>
      </c>
      <c r="H1338" s="4">
        <v>5063</v>
      </c>
      <c r="I1338" s="12">
        <v>5063</v>
      </c>
      <c r="J1338" s="4">
        <v>5063</v>
      </c>
      <c r="K1338" s="4">
        <v>0</v>
      </c>
    </row>
    <row r="1339" spans="1:11">
      <c r="A1339" s="4" t="str">
        <f t="shared" si="862"/>
        <v>20190524</v>
      </c>
      <c r="B1339" s="4" t="str">
        <f t="shared" si="863"/>
        <v>20190524</v>
      </c>
      <c r="C1339" s="4" t="str">
        <f>"证券转银行"</f>
        <v>证券转银行</v>
      </c>
      <c r="D1339" s="4"/>
      <c r="E1339" s="4"/>
      <c r="F1339" s="4">
        <v>0</v>
      </c>
      <c r="G1339" s="4">
        <v>0</v>
      </c>
      <c r="H1339" s="4">
        <v>0</v>
      </c>
      <c r="I1339" s="12">
        <v>-5063</v>
      </c>
      <c r="J1339" s="12">
        <v>0</v>
      </c>
      <c r="K1339" s="4">
        <v>0</v>
      </c>
    </row>
    <row r="1340" spans="1:11">
      <c r="A1340" s="4" t="str">
        <f t="shared" si="862"/>
        <v>20190524</v>
      </c>
      <c r="B1340" s="4" t="str">
        <f t="shared" si="863"/>
        <v>20190524</v>
      </c>
      <c r="C1340" s="4" t="str">
        <f>"资管T0取现拨入"</f>
        <v>资管T0取现拨入</v>
      </c>
      <c r="D1340" s="4" t="str">
        <f>"AA0007"</f>
        <v>AA0007</v>
      </c>
      <c r="E1340" s="4" t="str">
        <f>"银河水星1号集合"</f>
        <v>银河水星1号集合</v>
      </c>
      <c r="F1340" s="4">
        <v>0</v>
      </c>
      <c r="G1340" s="4">
        <v>5063</v>
      </c>
      <c r="H1340" s="4">
        <v>5063</v>
      </c>
      <c r="I1340" s="12">
        <v>5063</v>
      </c>
      <c r="J1340" s="12">
        <v>5063</v>
      </c>
      <c r="K1340" s="4">
        <v>0</v>
      </c>
    </row>
    <row r="1341" spans="1:11">
      <c r="A1341" s="4" t="str">
        <f t="shared" si="862"/>
        <v>20190524</v>
      </c>
      <c r="B1341" s="4" t="str">
        <f t="shared" si="863"/>
        <v>20190524</v>
      </c>
      <c r="C1341" s="4" t="str">
        <f>"资管计划实时取现"</f>
        <v>资管计划实时取现</v>
      </c>
      <c r="D1341" s="4" t="str">
        <f>"119931"</f>
        <v>119931</v>
      </c>
      <c r="E1341" s="4" t="str">
        <f>"水星1号"</f>
        <v>水星1号</v>
      </c>
      <c r="F1341" s="4">
        <v>0</v>
      </c>
      <c r="G1341" s="4">
        <v>0</v>
      </c>
      <c r="H1341" s="4">
        <v>0</v>
      </c>
      <c r="I1341" s="12">
        <v>-5063</v>
      </c>
      <c r="J1341" s="12">
        <v>0</v>
      </c>
      <c r="K1341" s="4">
        <v>0</v>
      </c>
    </row>
    <row r="1342" spans="1:11">
      <c r="A1342" s="4" t="str">
        <f>"20190620"</f>
        <v>20190620</v>
      </c>
      <c r="B1342" s="4" t="str">
        <f>"20190620"</f>
        <v>20190620</v>
      </c>
      <c r="C1342" s="4" t="str">
        <f>"利息归本"</f>
        <v>利息归本</v>
      </c>
      <c r="D1342" s="4"/>
      <c r="E1342" s="4"/>
      <c r="F1342" s="4">
        <v>0</v>
      </c>
      <c r="G1342" s="4">
        <v>0</v>
      </c>
      <c r="H1342" s="4">
        <v>0</v>
      </c>
      <c r="I1342" s="12">
        <v>0.03</v>
      </c>
      <c r="J1342" s="12">
        <v>0.03</v>
      </c>
      <c r="K1342" s="4">
        <v>0</v>
      </c>
    </row>
    <row r="1343" spans="1:11">
      <c r="A1343" s="4" t="str">
        <f>"20190621"</f>
        <v>20190621</v>
      </c>
      <c r="B1343" s="4" t="str">
        <f>"0"</f>
        <v>0</v>
      </c>
      <c r="C1343" s="4" t="str">
        <f>"基金红利拨入"</f>
        <v>基金红利拨入</v>
      </c>
      <c r="D1343" s="4" t="str">
        <f>"AA0007"</f>
        <v>AA0007</v>
      </c>
      <c r="E1343" s="4" t="str">
        <f>"银河水星1号集合"</f>
        <v>银河水星1号集合</v>
      </c>
      <c r="F1343" s="4">
        <v>0</v>
      </c>
      <c r="G1343" s="4">
        <v>0</v>
      </c>
      <c r="H1343" s="4">
        <v>11.69</v>
      </c>
      <c r="I1343" s="12">
        <v>11.69</v>
      </c>
      <c r="J1343" s="12">
        <v>11.72</v>
      </c>
      <c r="K1343" s="4">
        <v>0</v>
      </c>
    </row>
    <row r="1344" spans="1:11">
      <c r="A1344" s="4" t="str">
        <f>"20190626"</f>
        <v>20190626</v>
      </c>
      <c r="B1344" s="4" t="str">
        <f>"20190626"</f>
        <v>20190626</v>
      </c>
      <c r="C1344" s="4" t="str">
        <f>"红利入账"</f>
        <v>红利入账</v>
      </c>
      <c r="D1344" s="4" t="str">
        <f>"002183"</f>
        <v>002183</v>
      </c>
      <c r="E1344" s="4" t="str">
        <f>"怡 亚 通"</f>
        <v>怡 亚 通</v>
      </c>
      <c r="F1344" s="4">
        <v>0</v>
      </c>
      <c r="G1344" s="4">
        <v>0</v>
      </c>
      <c r="H1344" s="4">
        <v>100</v>
      </c>
      <c r="I1344" s="12">
        <v>100</v>
      </c>
      <c r="J1344" s="12">
        <v>111.72</v>
      </c>
      <c r="K1344" s="4">
        <v>0</v>
      </c>
    </row>
    <row r="1345" spans="1:11">
      <c r="A1345" s="4" t="str">
        <f>"20190920"</f>
        <v>20190920</v>
      </c>
      <c r="B1345" s="4" t="str">
        <f>"20190920"</f>
        <v>20190920</v>
      </c>
      <c r="C1345" s="4" t="str">
        <f>"利息归本"</f>
        <v>利息归本</v>
      </c>
      <c r="D1345" s="4"/>
      <c r="E1345" s="4"/>
      <c r="F1345" s="4">
        <v>0</v>
      </c>
      <c r="G1345" s="4">
        <v>0</v>
      </c>
      <c r="H1345" s="4">
        <v>0</v>
      </c>
      <c r="I1345" s="12">
        <v>0.09</v>
      </c>
      <c r="J1345" s="12">
        <v>111.81</v>
      </c>
      <c r="K1345" s="4">
        <v>0</v>
      </c>
    </row>
    <row r="1346" spans="1:11">
      <c r="A1346" s="4" t="str">
        <f>"20190923"</f>
        <v>20190923</v>
      </c>
      <c r="B1346" s="4" t="str">
        <f>"0"</f>
        <v>0</v>
      </c>
      <c r="C1346" s="4" t="str">
        <f>"基金红利拨入"</f>
        <v>基金红利拨入</v>
      </c>
      <c r="D1346" s="4" t="str">
        <f>"AA0007"</f>
        <v>AA0007</v>
      </c>
      <c r="E1346" s="4" t="str">
        <f>"银河水星1号集合"</f>
        <v>银河水星1号集合</v>
      </c>
      <c r="F1346" s="4">
        <v>0</v>
      </c>
      <c r="G1346" s="4">
        <v>0</v>
      </c>
      <c r="H1346" s="4">
        <v>0</v>
      </c>
      <c r="I1346" s="12">
        <v>0</v>
      </c>
      <c r="J1346" s="12">
        <v>111.81</v>
      </c>
      <c r="K1346" s="4">
        <v>0</v>
      </c>
    </row>
    <row r="1347" spans="1:11">
      <c r="A1347" s="4" t="str">
        <f t="shared" ref="A1347:A1349" si="864">"20191203"</f>
        <v>20191203</v>
      </c>
      <c r="B1347" s="4" t="str">
        <f t="shared" ref="B1347:B1349" si="865">"20191203"</f>
        <v>20191203</v>
      </c>
      <c r="C1347" s="4" t="str">
        <f>"股份转入"</f>
        <v>股份转入</v>
      </c>
      <c r="D1347" s="4" t="str">
        <f>"511990"</f>
        <v>511990</v>
      </c>
      <c r="E1347" s="4" t="str">
        <f>"华宝添益"</f>
        <v>华宝添益</v>
      </c>
      <c r="F1347" s="4">
        <v>99.988</v>
      </c>
      <c r="G1347" s="4">
        <v>2503</v>
      </c>
      <c r="H1347" s="4">
        <v>250269.96</v>
      </c>
      <c r="I1347" s="12">
        <v>0</v>
      </c>
      <c r="J1347" s="12">
        <v>111.81</v>
      </c>
      <c r="K1347" s="4">
        <v>2503</v>
      </c>
    </row>
    <row r="1348" spans="1:11">
      <c r="A1348" s="4" t="str">
        <f t="shared" si="864"/>
        <v>20191203</v>
      </c>
      <c r="B1348" s="4" t="str">
        <f t="shared" si="865"/>
        <v>20191203</v>
      </c>
      <c r="C1348" s="4" t="str">
        <f>"债券兑息"</f>
        <v>债券兑息</v>
      </c>
      <c r="D1348" s="4" t="str">
        <f>"128023"</f>
        <v>128023</v>
      </c>
      <c r="E1348" s="4" t="str">
        <f>"亚太转债"</f>
        <v>亚太转债</v>
      </c>
      <c r="F1348" s="4">
        <v>0</v>
      </c>
      <c r="G1348" s="4">
        <v>0</v>
      </c>
      <c r="H1348" s="4">
        <v>5</v>
      </c>
      <c r="I1348" s="12">
        <v>5</v>
      </c>
      <c r="J1348" s="12">
        <v>116.81</v>
      </c>
      <c r="K1348" s="4">
        <v>0</v>
      </c>
    </row>
    <row r="1349" spans="1:11">
      <c r="A1349" s="4" t="str">
        <f t="shared" si="864"/>
        <v>20191203</v>
      </c>
      <c r="B1349" s="4" t="str">
        <f t="shared" si="865"/>
        <v>20191203</v>
      </c>
      <c r="C1349" s="4" t="str">
        <f>"债券兑息兑付扣税"</f>
        <v>债券兑息兑付扣税</v>
      </c>
      <c r="D1349" s="4" t="str">
        <f>"128023"</f>
        <v>128023</v>
      </c>
      <c r="E1349" s="4" t="str">
        <f>"亚太转债"</f>
        <v>亚太转债</v>
      </c>
      <c r="F1349" s="4">
        <v>0</v>
      </c>
      <c r="G1349" s="4">
        <v>0</v>
      </c>
      <c r="H1349" s="4">
        <v>1</v>
      </c>
      <c r="I1349" s="12">
        <v>-1</v>
      </c>
      <c r="J1349" s="12">
        <v>115.81</v>
      </c>
      <c r="K1349" s="4">
        <v>0</v>
      </c>
    </row>
    <row r="1350" spans="1:11">
      <c r="A1350" s="4" t="str">
        <f>"20191205"</f>
        <v>20191205</v>
      </c>
      <c r="B1350" s="4" t="str">
        <f>"20191204"</f>
        <v>20191204</v>
      </c>
      <c r="C1350" s="4" t="str">
        <f>"ETF 基金赎回"</f>
        <v>ETF 基金赎回</v>
      </c>
      <c r="D1350" s="4" t="str">
        <f>"511991"</f>
        <v>511991</v>
      </c>
      <c r="E1350" s="4" t="str">
        <f>"添益申赎"</f>
        <v>添益申赎</v>
      </c>
      <c r="F1350" s="4">
        <v>0</v>
      </c>
      <c r="G1350" s="4">
        <v>2503</v>
      </c>
      <c r="H1350" s="4">
        <v>0</v>
      </c>
      <c r="I1350" s="12">
        <v>0</v>
      </c>
      <c r="J1350" s="12">
        <v>115.81</v>
      </c>
      <c r="K1350" s="4">
        <v>0</v>
      </c>
    </row>
    <row r="1351" spans="1:11">
      <c r="A1351" s="4" t="str">
        <f>"20191205"</f>
        <v>20191205</v>
      </c>
      <c r="B1351" s="4" t="str">
        <f>"20191204"</f>
        <v>20191204</v>
      </c>
      <c r="C1351" s="4" t="str">
        <f>"ETF 申购退款"</f>
        <v>ETF 申购退款</v>
      </c>
      <c r="D1351" s="4" t="str">
        <f>"511990"</f>
        <v>511990</v>
      </c>
      <c r="E1351" s="4" t="str">
        <f>"华宝添益"</f>
        <v>华宝添益</v>
      </c>
      <c r="F1351" s="4">
        <v>0</v>
      </c>
      <c r="G1351" s="4">
        <v>0</v>
      </c>
      <c r="H1351" s="4">
        <v>250332.05</v>
      </c>
      <c r="I1351" s="12">
        <v>250332.05</v>
      </c>
      <c r="J1351" s="12">
        <v>250447.86</v>
      </c>
      <c r="K1351" s="4">
        <v>0</v>
      </c>
    </row>
    <row r="1352" spans="1:11">
      <c r="A1352" s="4" t="str">
        <f t="shared" ref="A1352:A1354" si="866">"20191206"</f>
        <v>20191206</v>
      </c>
      <c r="B1352" s="4" t="str">
        <f t="shared" ref="B1352:B1354" si="867">"20191206"</f>
        <v>20191206</v>
      </c>
      <c r="C1352" s="4" t="str">
        <f>"基金申购拨出"</f>
        <v>基金申购拨出</v>
      </c>
      <c r="D1352" s="4" t="str">
        <f>"AA0007"</f>
        <v>AA0007</v>
      </c>
      <c r="E1352" s="4" t="str">
        <f>"银河水星1号集合"</f>
        <v>银河水星1号集合</v>
      </c>
      <c r="F1352" s="4">
        <v>0</v>
      </c>
      <c r="G1352" s="4">
        <v>0</v>
      </c>
      <c r="H1352" s="4">
        <v>0</v>
      </c>
      <c r="I1352" s="12">
        <v>-250447.86</v>
      </c>
      <c r="J1352" s="12">
        <v>0</v>
      </c>
      <c r="K1352" s="4">
        <v>0</v>
      </c>
    </row>
    <row r="1353" spans="1:11">
      <c r="A1353" s="4" t="str">
        <f t="shared" si="866"/>
        <v>20191206</v>
      </c>
      <c r="B1353" s="4" t="str">
        <f t="shared" si="867"/>
        <v>20191206</v>
      </c>
      <c r="C1353" s="4" t="str">
        <f>"指定交易"</f>
        <v>指定交易</v>
      </c>
      <c r="D1353" s="4" t="str">
        <f>"799999"</f>
        <v>799999</v>
      </c>
      <c r="E1353" s="4" t="str">
        <f>"登记指定"</f>
        <v>登记指定</v>
      </c>
      <c r="F1353" s="4">
        <v>0</v>
      </c>
      <c r="G1353" s="4">
        <v>0</v>
      </c>
      <c r="H1353" s="4">
        <v>0</v>
      </c>
      <c r="I1353" s="12">
        <v>0</v>
      </c>
      <c r="J1353" s="12">
        <v>0</v>
      </c>
      <c r="K1353" s="4">
        <v>0</v>
      </c>
    </row>
    <row r="1354" spans="1:11">
      <c r="A1354" s="4" t="str">
        <f t="shared" si="866"/>
        <v>20191206</v>
      </c>
      <c r="B1354" s="4" t="str">
        <f t="shared" si="867"/>
        <v>20191206</v>
      </c>
      <c r="C1354" s="4" t="str">
        <f>"指定交易"</f>
        <v>指定交易</v>
      </c>
      <c r="D1354" s="4" t="str">
        <f>"799999"</f>
        <v>799999</v>
      </c>
      <c r="E1354" s="4" t="str">
        <f>"登记指定"</f>
        <v>登记指定</v>
      </c>
      <c r="F1354" s="4">
        <v>0</v>
      </c>
      <c r="G1354" s="4">
        <v>0</v>
      </c>
      <c r="H1354" s="4">
        <v>0</v>
      </c>
      <c r="I1354" s="12">
        <v>0</v>
      </c>
      <c r="J1354" s="12">
        <v>0</v>
      </c>
      <c r="K1354" s="4">
        <v>0</v>
      </c>
    </row>
    <row r="1355" spans="1:11">
      <c r="A1355" s="4" t="str">
        <f>"20191209"</f>
        <v>20191209</v>
      </c>
      <c r="B1355" s="4" t="str">
        <f>"20191209"</f>
        <v>20191209</v>
      </c>
      <c r="C1355" s="4" t="str">
        <f>"基金赎回拨入"</f>
        <v>基金赎回拨入</v>
      </c>
      <c r="D1355" s="4" t="str">
        <f>"AA0007"</f>
        <v>AA0007</v>
      </c>
      <c r="E1355" s="4" t="str">
        <f>"银河水星1号集合"</f>
        <v>银河水星1号集合</v>
      </c>
      <c r="F1355" s="4">
        <v>0</v>
      </c>
      <c r="G1355" s="4">
        <v>28359</v>
      </c>
      <c r="H1355" s="4">
        <v>0</v>
      </c>
      <c r="I1355" s="12">
        <v>28359.79</v>
      </c>
      <c r="J1355" s="12">
        <v>28359.79</v>
      </c>
      <c r="K1355" s="4">
        <v>0</v>
      </c>
    </row>
    <row r="1356" spans="1:11">
      <c r="A1356" s="4" t="str">
        <f>"20191209"</f>
        <v>20191209</v>
      </c>
      <c r="B1356" s="4" t="str">
        <f>"20191209"</f>
        <v>20191209</v>
      </c>
      <c r="C1356" s="4" t="str">
        <f>"证券买入"</f>
        <v>证券买入</v>
      </c>
      <c r="D1356" s="4" t="str">
        <f>"000601"</f>
        <v>000601</v>
      </c>
      <c r="E1356" s="4" t="str">
        <f>"韶能股份"</f>
        <v>韶能股份</v>
      </c>
      <c r="F1356" s="4">
        <v>5.67</v>
      </c>
      <c r="G1356" s="4">
        <v>5000</v>
      </c>
      <c r="H1356" s="4">
        <v>28350</v>
      </c>
      <c r="I1356" s="12">
        <v>-28358.79</v>
      </c>
      <c r="J1356" s="12">
        <v>1</v>
      </c>
      <c r="K1356" s="4">
        <v>5000</v>
      </c>
    </row>
    <row r="1357" spans="1:11">
      <c r="A1357" s="4" t="str">
        <f t="shared" ref="A1357:A1360" si="868">"20191210"</f>
        <v>20191210</v>
      </c>
      <c r="B1357" s="4" t="str">
        <f t="shared" ref="B1357:B1360" si="869">"20191210"</f>
        <v>20191210</v>
      </c>
      <c r="C1357" s="4" t="str">
        <f>"资管计划实时取现"</f>
        <v>资管计划实时取现</v>
      </c>
      <c r="D1357" s="4" t="str">
        <f>"119931"</f>
        <v>119931</v>
      </c>
      <c r="E1357" s="4" t="str">
        <f>"水星1号"</f>
        <v>水星1号</v>
      </c>
      <c r="F1357" s="4">
        <v>0</v>
      </c>
      <c r="G1357" s="4">
        <v>0</v>
      </c>
      <c r="H1357" s="4">
        <v>222000</v>
      </c>
      <c r="I1357" s="12">
        <v>222000</v>
      </c>
      <c r="J1357" s="12">
        <v>222001</v>
      </c>
      <c r="K1357" s="4">
        <v>0</v>
      </c>
    </row>
    <row r="1358" spans="1:11">
      <c r="A1358" s="4" t="str">
        <f t="shared" si="868"/>
        <v>20191210</v>
      </c>
      <c r="B1358" s="4" t="str">
        <f t="shared" si="869"/>
        <v>20191210</v>
      </c>
      <c r="C1358" s="4" t="str">
        <f>"证券转银行"</f>
        <v>证券转银行</v>
      </c>
      <c r="D1358" s="4"/>
      <c r="E1358" s="4"/>
      <c r="F1358" s="4">
        <v>0</v>
      </c>
      <c r="G1358" s="4">
        <v>0</v>
      </c>
      <c r="H1358" s="4">
        <v>0</v>
      </c>
      <c r="I1358" s="12">
        <v>-222000</v>
      </c>
      <c r="J1358" s="12">
        <v>1</v>
      </c>
      <c r="K1358" s="4">
        <v>0</v>
      </c>
    </row>
    <row r="1359" spans="1:11">
      <c r="A1359" s="4" t="str">
        <f t="shared" si="868"/>
        <v>20191210</v>
      </c>
      <c r="B1359" s="4" t="str">
        <f t="shared" si="869"/>
        <v>20191210</v>
      </c>
      <c r="C1359" s="4" t="str">
        <f>"资管T0取现拨入"</f>
        <v>资管T0取现拨入</v>
      </c>
      <c r="D1359" s="4" t="str">
        <f>"AA0007"</f>
        <v>AA0007</v>
      </c>
      <c r="E1359" s="4" t="str">
        <f>"银河水星1号集合"</f>
        <v>银河水星1号集合</v>
      </c>
      <c r="F1359" s="4">
        <v>0</v>
      </c>
      <c r="G1359" s="4">
        <v>222000</v>
      </c>
      <c r="H1359" s="4">
        <v>222000</v>
      </c>
      <c r="I1359" s="12">
        <v>222000</v>
      </c>
      <c r="J1359" s="12">
        <v>222001</v>
      </c>
      <c r="K1359" s="4">
        <v>0</v>
      </c>
    </row>
    <row r="1360" spans="1:11">
      <c r="A1360" s="4" t="str">
        <f t="shared" si="868"/>
        <v>20191210</v>
      </c>
      <c r="B1360" s="4" t="str">
        <f t="shared" si="869"/>
        <v>20191210</v>
      </c>
      <c r="C1360" s="4" t="str">
        <f>"资管计划实时取现"</f>
        <v>资管计划实时取现</v>
      </c>
      <c r="D1360" s="4" t="str">
        <f>"119931"</f>
        <v>119931</v>
      </c>
      <c r="E1360" s="4" t="str">
        <f>"水星1号"</f>
        <v>水星1号</v>
      </c>
      <c r="F1360" s="4">
        <v>0</v>
      </c>
      <c r="G1360" s="4">
        <v>0</v>
      </c>
      <c r="H1360" s="4">
        <v>0</v>
      </c>
      <c r="I1360" s="12">
        <v>-222000</v>
      </c>
      <c r="J1360" s="12">
        <v>1</v>
      </c>
      <c r="K1360" s="4">
        <v>0</v>
      </c>
    </row>
    <row r="1361" spans="1:11">
      <c r="A1361" s="4" t="str">
        <f>"20191216"</f>
        <v>20191216</v>
      </c>
      <c r="B1361" s="4" t="str">
        <f>"20191216"</f>
        <v>20191216</v>
      </c>
      <c r="C1361" s="4" t="str">
        <f>"基金上折"</f>
        <v>基金上折</v>
      </c>
      <c r="D1361" s="4" t="str">
        <f>"161024"</f>
        <v>161024</v>
      </c>
      <c r="E1361" s="4" t="str">
        <f>"军工分级"</f>
        <v>军工分级</v>
      </c>
      <c r="F1361" s="4">
        <v>0</v>
      </c>
      <c r="G1361" s="4">
        <v>28</v>
      </c>
      <c r="H1361" s="4">
        <v>0</v>
      </c>
      <c r="I1361" s="12">
        <v>0</v>
      </c>
      <c r="J1361" s="12">
        <v>1</v>
      </c>
      <c r="K1361" s="4">
        <v>1421</v>
      </c>
    </row>
    <row r="1362" spans="1:11">
      <c r="A1362" s="4" t="str">
        <f>"20191220"</f>
        <v>20191220</v>
      </c>
      <c r="B1362" s="4" t="str">
        <f>"20191220"</f>
        <v>20191220</v>
      </c>
      <c r="C1362" s="4" t="str">
        <f>"利息归本"</f>
        <v>利息归本</v>
      </c>
      <c r="D1362" s="4"/>
      <c r="E1362" s="4"/>
      <c r="F1362" s="4">
        <v>0</v>
      </c>
      <c r="G1362" s="4">
        <v>0</v>
      </c>
      <c r="H1362" s="4">
        <v>0</v>
      </c>
      <c r="I1362" s="12">
        <v>2.79</v>
      </c>
      <c r="J1362" s="12">
        <v>3.79</v>
      </c>
      <c r="K1362" s="4">
        <v>0</v>
      </c>
    </row>
    <row r="1363" spans="1:11">
      <c r="A1363" s="4" t="str">
        <f>"20191223"</f>
        <v>20191223</v>
      </c>
      <c r="B1363" s="4" t="str">
        <f>"0"</f>
        <v>0</v>
      </c>
      <c r="C1363" s="4" t="str">
        <f>"基金红利拨入"</f>
        <v>基金红利拨入</v>
      </c>
      <c r="D1363" s="4" t="str">
        <f>"AA0007"</f>
        <v>AA0007</v>
      </c>
      <c r="E1363" s="4" t="str">
        <f>"银河水星1号集合"</f>
        <v>银河水星1号集合</v>
      </c>
      <c r="F1363" s="4">
        <v>0</v>
      </c>
      <c r="G1363" s="4">
        <v>0</v>
      </c>
      <c r="H1363" s="4">
        <v>34.37</v>
      </c>
      <c r="I1363" s="12">
        <v>34.37</v>
      </c>
      <c r="J1363" s="12">
        <v>38.16</v>
      </c>
      <c r="K1363" s="4">
        <v>0</v>
      </c>
    </row>
    <row r="1364" spans="1:11">
      <c r="A1364" s="1" t="str">
        <f>"20200121"</f>
        <v>20200121</v>
      </c>
      <c r="B1364" s="1" t="str">
        <f>"20200121"</f>
        <v>20200121</v>
      </c>
      <c r="C1364" s="1" t="str">
        <f>"证券买入"</f>
        <v>证券买入</v>
      </c>
      <c r="D1364" s="1" t="str">
        <f>"600028"</f>
        <v>600028</v>
      </c>
      <c r="E1364" s="1" t="str">
        <f>"中国石化"</f>
        <v>中国石化</v>
      </c>
      <c r="F1364" s="1">
        <v>5.02</v>
      </c>
      <c r="G1364" s="1">
        <v>6200</v>
      </c>
      <c r="H1364" s="1">
        <v>31124</v>
      </c>
      <c r="I1364" s="13">
        <v>-31134.28</v>
      </c>
      <c r="J1364" s="13">
        <v>312.68</v>
      </c>
      <c r="K1364" s="1">
        <v>6200</v>
      </c>
    </row>
    <row r="1365" spans="1:11">
      <c r="A1365" s="1" t="str">
        <f>"20200121"</f>
        <v>20200121</v>
      </c>
      <c r="B1365" s="1" t="str">
        <f>"20200121"</f>
        <v>20200121</v>
      </c>
      <c r="C1365" s="1" t="str">
        <f>"证券卖出"</f>
        <v>证券卖出</v>
      </c>
      <c r="D1365" s="1" t="str">
        <f>"000601"</f>
        <v>000601</v>
      </c>
      <c r="E1365" s="1" t="str">
        <f>"韶能股份"</f>
        <v>韶能股份</v>
      </c>
      <c r="F1365" s="1">
        <v>6.29</v>
      </c>
      <c r="G1365" s="1">
        <v>5000</v>
      </c>
      <c r="H1365" s="1">
        <v>31450</v>
      </c>
      <c r="I1365" s="13">
        <v>31408.8</v>
      </c>
      <c r="J1365" s="13">
        <v>31446.96</v>
      </c>
      <c r="K1365" s="1">
        <v>0</v>
      </c>
    </row>
    <row r="1366" spans="1:11">
      <c r="A1366" s="1" t="str">
        <f>"20200205"</f>
        <v>20200205</v>
      </c>
      <c r="B1366" s="1" t="str">
        <f>"20200205"</f>
        <v>20200205</v>
      </c>
      <c r="C1366" s="1" t="str">
        <f>"股份转出"</f>
        <v>股份转出</v>
      </c>
      <c r="D1366" s="1" t="str">
        <f>"600028"</f>
        <v>600028</v>
      </c>
      <c r="E1366" s="1" t="str">
        <f>"中国石化"</f>
        <v>中国石化</v>
      </c>
      <c r="F1366" s="1">
        <v>0</v>
      </c>
      <c r="G1366" s="1">
        <v>6200</v>
      </c>
      <c r="H1366" s="1">
        <v>0</v>
      </c>
      <c r="I1366" s="13">
        <v>0</v>
      </c>
      <c r="J1366" s="13">
        <v>312.68</v>
      </c>
      <c r="K1366" s="1">
        <v>0</v>
      </c>
    </row>
    <row r="1367" spans="1:11">
      <c r="A1367" s="1" t="str">
        <f>"20200210"</f>
        <v>20200210</v>
      </c>
      <c r="B1367" s="1" t="str">
        <f>"20200210"</f>
        <v>20200210</v>
      </c>
      <c r="C1367" s="1" t="str">
        <f>"股份转出"</f>
        <v>股份转出</v>
      </c>
      <c r="D1367" s="1" t="str">
        <f>"002183"</f>
        <v>002183</v>
      </c>
      <c r="E1367" s="1" t="str">
        <f>"怡 亚 通"</f>
        <v>怡 亚 通</v>
      </c>
      <c r="F1367" s="1">
        <v>0</v>
      </c>
      <c r="G1367" s="1">
        <v>5000</v>
      </c>
      <c r="H1367" s="1">
        <v>0</v>
      </c>
      <c r="I1367" s="13">
        <v>0</v>
      </c>
      <c r="J1367" s="13">
        <v>312.68</v>
      </c>
      <c r="K1367" s="1">
        <v>0</v>
      </c>
    </row>
    <row r="1368" spans="1:11">
      <c r="A1368" s="1" t="str">
        <f t="shared" ref="A1368:A1370" si="870">"20200305"</f>
        <v>20200305</v>
      </c>
      <c r="B1368" s="1" t="str">
        <f t="shared" ref="B1368:B1370" si="871">"20200305"</f>
        <v>20200305</v>
      </c>
      <c r="C1368" s="1" t="str">
        <f>"基金申购拨出"</f>
        <v>基金申购拨出</v>
      </c>
      <c r="D1368" s="1" t="str">
        <f>"AA0007"</f>
        <v>AA0007</v>
      </c>
      <c r="E1368" s="1" t="str">
        <f>"银河水星1号集合"</f>
        <v>银河水星1号集合</v>
      </c>
      <c r="F1368" s="1">
        <v>0</v>
      </c>
      <c r="G1368" s="1">
        <v>0</v>
      </c>
      <c r="H1368" s="1">
        <v>0</v>
      </c>
      <c r="I1368" s="13">
        <v>-2132.18</v>
      </c>
      <c r="J1368" s="13">
        <v>22180.5</v>
      </c>
      <c r="K1368" s="1">
        <v>0</v>
      </c>
    </row>
    <row r="1369" spans="1:11">
      <c r="A1369" s="1" t="str">
        <f t="shared" si="870"/>
        <v>20200305</v>
      </c>
      <c r="B1369" s="1" t="str">
        <f t="shared" si="871"/>
        <v>20200305</v>
      </c>
      <c r="C1369" s="1" t="str">
        <f t="shared" ref="C1369:C1371" si="872">"银行转证券"</f>
        <v>银行转证券</v>
      </c>
      <c r="D1369" s="6"/>
      <c r="E1369" s="6"/>
      <c r="F1369" s="1">
        <v>0</v>
      </c>
      <c r="G1369" s="1">
        <v>0</v>
      </c>
      <c r="H1369" s="1">
        <v>0</v>
      </c>
      <c r="I1369" s="13">
        <v>20000</v>
      </c>
      <c r="J1369" s="13">
        <v>20312.68</v>
      </c>
      <c r="K1369" s="1">
        <v>0</v>
      </c>
    </row>
    <row r="1370" spans="1:11">
      <c r="A1370" s="1" t="str">
        <f t="shared" si="870"/>
        <v>20200305</v>
      </c>
      <c r="B1370" s="1" t="str">
        <f t="shared" si="871"/>
        <v>20200305</v>
      </c>
      <c r="C1370" s="1" t="str">
        <f t="shared" si="872"/>
        <v>银行转证券</v>
      </c>
      <c r="D1370" s="6"/>
      <c r="E1370" s="6"/>
      <c r="F1370" s="1">
        <v>0</v>
      </c>
      <c r="G1370" s="1">
        <v>0</v>
      </c>
      <c r="H1370" s="1">
        <v>0</v>
      </c>
      <c r="I1370" s="13">
        <v>4000</v>
      </c>
      <c r="J1370" s="13">
        <v>24312.68</v>
      </c>
      <c r="K1370" s="1">
        <v>0</v>
      </c>
    </row>
    <row r="1371" spans="1:11">
      <c r="A1371" s="1" t="str">
        <f>"20200309"</f>
        <v>20200309</v>
      </c>
      <c r="B1371" s="1" t="str">
        <f>"20200309"</f>
        <v>20200309</v>
      </c>
      <c r="C1371" s="1" t="str">
        <f t="shared" si="872"/>
        <v>银行转证券</v>
      </c>
      <c r="D1371" s="6"/>
      <c r="E1371" s="6"/>
      <c r="F1371" s="1">
        <v>0</v>
      </c>
      <c r="G1371" s="1">
        <v>0</v>
      </c>
      <c r="H1371" s="1">
        <v>0</v>
      </c>
      <c r="I1371" s="13">
        <v>20000</v>
      </c>
      <c r="J1371" s="13">
        <v>42180.5</v>
      </c>
      <c r="K1371" s="1">
        <v>0</v>
      </c>
    </row>
    <row r="1372" spans="1:11">
      <c r="A1372" s="1" t="s">
        <v>107</v>
      </c>
      <c r="B1372" s="1" t="s">
        <v>108</v>
      </c>
      <c r="C1372" s="1" t="s">
        <v>109</v>
      </c>
      <c r="D1372" s="1" t="str">
        <f>"00386"</f>
        <v>00386</v>
      </c>
      <c r="E1372" s="1" t="s">
        <v>110</v>
      </c>
      <c r="F1372" s="5">
        <v>3.58</v>
      </c>
      <c r="G1372" s="5">
        <v>6000</v>
      </c>
      <c r="H1372" s="5">
        <v>21473.79</v>
      </c>
      <c r="I1372" s="5">
        <v>-21538.64</v>
      </c>
      <c r="J1372" s="5">
        <v>20641.86</v>
      </c>
      <c r="K1372" s="5">
        <v>6000</v>
      </c>
    </row>
    <row r="1373" spans="1:11">
      <c r="A1373" s="1" t="s">
        <v>111</v>
      </c>
      <c r="B1373" s="1" t="s">
        <v>111</v>
      </c>
      <c r="C1373" s="1" t="s">
        <v>94</v>
      </c>
      <c r="D1373" s="1" t="str">
        <f>""</f>
        <v/>
      </c>
      <c r="E1373" s="1" t="s">
        <v>112</v>
      </c>
      <c r="F1373" s="5">
        <v>0</v>
      </c>
      <c r="G1373" s="5">
        <v>0</v>
      </c>
      <c r="H1373" s="5">
        <v>0.01</v>
      </c>
      <c r="I1373" s="5">
        <v>-0.01</v>
      </c>
      <c r="J1373" s="5">
        <v>20641.85</v>
      </c>
      <c r="K1373" s="5">
        <v>0</v>
      </c>
    </row>
    <row r="1374" spans="1:11">
      <c r="A1374" s="1" t="s">
        <v>113</v>
      </c>
      <c r="B1374" s="1" t="s">
        <v>107</v>
      </c>
      <c r="C1374" s="1" t="s">
        <v>109</v>
      </c>
      <c r="D1374" s="1" t="str">
        <f>"00386"</f>
        <v>00386</v>
      </c>
      <c r="E1374" s="1" t="s">
        <v>110</v>
      </c>
      <c r="F1374" s="5">
        <v>3.31</v>
      </c>
      <c r="G1374" s="5">
        <v>6000</v>
      </c>
      <c r="H1374" s="5">
        <v>19835.03</v>
      </c>
      <c r="I1374" s="5">
        <v>-19895.05</v>
      </c>
      <c r="J1374" s="5">
        <v>746.8</v>
      </c>
      <c r="K1374" s="5">
        <v>12000</v>
      </c>
    </row>
    <row r="1375" spans="1:11">
      <c r="A1375" s="1" t="s">
        <v>113</v>
      </c>
      <c r="B1375" s="1" t="s">
        <v>113</v>
      </c>
      <c r="C1375" s="1" t="s">
        <v>94</v>
      </c>
      <c r="D1375" s="1" t="str">
        <f>""</f>
        <v/>
      </c>
      <c r="E1375" s="1" t="s">
        <v>112</v>
      </c>
      <c r="F1375" s="5">
        <v>0</v>
      </c>
      <c r="G1375" s="5">
        <v>0</v>
      </c>
      <c r="H1375" s="5">
        <v>0.01</v>
      </c>
      <c r="I1375" s="5">
        <v>-0.01</v>
      </c>
      <c r="J1375" s="5">
        <v>746.79</v>
      </c>
      <c r="K1375" s="5">
        <v>0</v>
      </c>
    </row>
    <row r="1376" spans="1:11">
      <c r="A1376" s="1" t="s">
        <v>114</v>
      </c>
      <c r="B1376" s="1" t="s">
        <v>114</v>
      </c>
      <c r="C1376" s="1" t="s">
        <v>94</v>
      </c>
      <c r="D1376" s="1" t="str">
        <f>""</f>
        <v/>
      </c>
      <c r="E1376" s="1" t="s">
        <v>112</v>
      </c>
      <c r="F1376" s="5">
        <v>0</v>
      </c>
      <c r="G1376" s="5">
        <v>0</v>
      </c>
      <c r="H1376" s="5">
        <v>0.02</v>
      </c>
      <c r="I1376" s="5">
        <v>-0.02</v>
      </c>
      <c r="J1376" s="5">
        <v>746.77</v>
      </c>
      <c r="K1376" s="5">
        <v>0</v>
      </c>
    </row>
    <row r="1377" spans="1:11">
      <c r="A1377" s="1" t="str">
        <f>"20200313"</f>
        <v>20200313</v>
      </c>
      <c r="B1377" s="1" t="str">
        <f>"20200313"</f>
        <v>20200313</v>
      </c>
      <c r="C1377" s="1" t="str">
        <f>"基金申购拨出"</f>
        <v>基金申购拨出</v>
      </c>
      <c r="D1377" s="1" t="str">
        <f>"AA0007"</f>
        <v>AA0007</v>
      </c>
      <c r="E1377" s="1" t="str">
        <f>"银河水星1号集合"</f>
        <v>银河水星1号集合</v>
      </c>
      <c r="F1377" s="1">
        <v>0</v>
      </c>
      <c r="G1377" s="1">
        <v>0</v>
      </c>
      <c r="H1377" s="1">
        <v>0</v>
      </c>
      <c r="I1377" s="13">
        <v>-1479.6</v>
      </c>
      <c r="J1377" s="13">
        <v>19267.17</v>
      </c>
      <c r="K1377" s="1">
        <v>0</v>
      </c>
    </row>
    <row r="1378" spans="1:11">
      <c r="A1378" s="1" t="str">
        <f>"20200313"</f>
        <v>20200313</v>
      </c>
      <c r="B1378" s="1" t="str">
        <f>"20200313"</f>
        <v>20200313</v>
      </c>
      <c r="C1378" s="1" t="str">
        <f>"银行转证券"</f>
        <v>银行转证券</v>
      </c>
      <c r="D1378" s="6"/>
      <c r="E1378" s="6"/>
      <c r="F1378" s="1">
        <v>0</v>
      </c>
      <c r="G1378" s="1">
        <v>0</v>
      </c>
      <c r="H1378" s="1">
        <v>0</v>
      </c>
      <c r="I1378" s="13">
        <v>20000</v>
      </c>
      <c r="J1378" s="13">
        <v>20746.77</v>
      </c>
      <c r="K1378" s="1">
        <v>0</v>
      </c>
    </row>
    <row r="1379" spans="1:11">
      <c r="A1379" s="1" t="s">
        <v>115</v>
      </c>
      <c r="B1379" s="1" t="s">
        <v>115</v>
      </c>
      <c r="C1379" s="1" t="s">
        <v>94</v>
      </c>
      <c r="D1379" s="1" t="str">
        <f>""</f>
        <v/>
      </c>
      <c r="E1379" s="1" t="s">
        <v>112</v>
      </c>
      <c r="F1379" s="5">
        <v>0</v>
      </c>
      <c r="G1379" s="5">
        <v>0</v>
      </c>
      <c r="H1379" s="5">
        <v>0.01</v>
      </c>
      <c r="I1379" s="13">
        <v>-0.01</v>
      </c>
      <c r="J1379" s="5">
        <v>19267.16</v>
      </c>
      <c r="K1379" s="5">
        <v>0</v>
      </c>
    </row>
    <row r="1380" spans="1:11">
      <c r="A1380" s="1" t="s">
        <v>116</v>
      </c>
      <c r="B1380" s="1" t="s">
        <v>116</v>
      </c>
      <c r="C1380" s="1" t="s">
        <v>94</v>
      </c>
      <c r="D1380" s="1" t="str">
        <f>""</f>
        <v/>
      </c>
      <c r="E1380" s="1" t="s">
        <v>112</v>
      </c>
      <c r="F1380" s="5">
        <v>0</v>
      </c>
      <c r="G1380" s="5">
        <v>0</v>
      </c>
      <c r="H1380" s="5">
        <v>0.03</v>
      </c>
      <c r="I1380" s="13">
        <v>-0.03</v>
      </c>
      <c r="J1380" s="5">
        <v>19267.13</v>
      </c>
      <c r="K1380" s="5">
        <v>0</v>
      </c>
    </row>
    <row r="1381" spans="1:11">
      <c r="A1381" s="1" t="s">
        <v>117</v>
      </c>
      <c r="B1381" s="1" t="s">
        <v>115</v>
      </c>
      <c r="C1381" s="1" t="s">
        <v>109</v>
      </c>
      <c r="D1381" s="1" t="str">
        <f>"00386"</f>
        <v>00386</v>
      </c>
      <c r="E1381" s="1" t="s">
        <v>110</v>
      </c>
      <c r="F1381" s="5">
        <v>3.11</v>
      </c>
      <c r="G1381" s="5">
        <v>6000</v>
      </c>
      <c r="H1381" s="5">
        <v>18676.58</v>
      </c>
      <c r="I1381" s="13">
        <v>-18721.63</v>
      </c>
      <c r="J1381" s="5">
        <v>545.5</v>
      </c>
      <c r="K1381" s="5">
        <v>18000</v>
      </c>
    </row>
    <row r="1382" spans="1:11">
      <c r="A1382" s="1" t="s">
        <v>117</v>
      </c>
      <c r="B1382" s="1" t="s">
        <v>117</v>
      </c>
      <c r="C1382" s="1" t="s">
        <v>94</v>
      </c>
      <c r="D1382" s="1" t="str">
        <f>""</f>
        <v/>
      </c>
      <c r="E1382" s="1" t="s">
        <v>112</v>
      </c>
      <c r="F1382" s="5">
        <v>0</v>
      </c>
      <c r="G1382" s="5">
        <v>0</v>
      </c>
      <c r="H1382" s="5">
        <v>0.01</v>
      </c>
      <c r="I1382" s="13">
        <v>-0.01</v>
      </c>
      <c r="J1382" s="5">
        <v>545.49</v>
      </c>
      <c r="K1382" s="5">
        <v>0</v>
      </c>
    </row>
    <row r="1383" spans="1:11">
      <c r="A1383" s="1" t="s">
        <v>118</v>
      </c>
      <c r="B1383" s="1" t="s">
        <v>118</v>
      </c>
      <c r="C1383" s="1" t="s">
        <v>94</v>
      </c>
      <c r="D1383" s="1" t="str">
        <f>""</f>
        <v/>
      </c>
      <c r="E1383" s="1" t="s">
        <v>112</v>
      </c>
      <c r="F1383" s="5">
        <v>0</v>
      </c>
      <c r="G1383" s="5">
        <v>0</v>
      </c>
      <c r="H1383" s="5">
        <v>0.02</v>
      </c>
      <c r="I1383" s="13">
        <v>-0.02</v>
      </c>
      <c r="J1383" s="5">
        <v>545.47</v>
      </c>
      <c r="K1383" s="5">
        <v>0</v>
      </c>
    </row>
    <row r="1384" spans="1:11">
      <c r="A1384" s="1" t="str">
        <f t="shared" ref="A1384:A1386" si="873">"20200319"</f>
        <v>20200319</v>
      </c>
      <c r="B1384" s="1" t="str">
        <f t="shared" ref="B1384:B1386" si="874">"20200319"</f>
        <v>20200319</v>
      </c>
      <c r="C1384" s="1" t="str">
        <f>"基金赎回拨入"</f>
        <v>基金赎回拨入</v>
      </c>
      <c r="D1384" s="1" t="str">
        <f>"AA0007"</f>
        <v>AA0007</v>
      </c>
      <c r="E1384" s="1" t="str">
        <f>"银河水星1号集合"</f>
        <v>银河水星1号集合</v>
      </c>
      <c r="F1384" s="1">
        <v>0</v>
      </c>
      <c r="G1384" s="1">
        <v>3700</v>
      </c>
      <c r="H1384" s="1">
        <v>0</v>
      </c>
      <c r="I1384" s="13">
        <v>3700.62</v>
      </c>
      <c r="J1384" s="13">
        <v>24296.09</v>
      </c>
      <c r="K1384" s="1">
        <v>0</v>
      </c>
    </row>
    <row r="1385" spans="1:11">
      <c r="A1385" s="1" t="str">
        <f t="shared" si="873"/>
        <v>20200319</v>
      </c>
      <c r="B1385" s="1" t="str">
        <f t="shared" si="874"/>
        <v>20200319</v>
      </c>
      <c r="C1385" s="1" t="str">
        <f>"银行转证券"</f>
        <v>银行转证券</v>
      </c>
      <c r="D1385" s="6"/>
      <c r="E1385" s="6"/>
      <c r="F1385" s="1">
        <v>0</v>
      </c>
      <c r="G1385" s="1">
        <v>0</v>
      </c>
      <c r="H1385" s="1">
        <v>0</v>
      </c>
      <c r="I1385" s="13">
        <v>20000</v>
      </c>
      <c r="J1385" s="13">
        <v>20545.47</v>
      </c>
      <c r="K1385" s="1">
        <v>0</v>
      </c>
    </row>
    <row r="1386" spans="1:11">
      <c r="A1386" s="1" t="str">
        <f t="shared" si="873"/>
        <v>20200319</v>
      </c>
      <c r="B1386" s="1" t="str">
        <f t="shared" si="874"/>
        <v>20200319</v>
      </c>
      <c r="C1386" s="1" t="str">
        <f>"银行转证券"</f>
        <v>银行转证券</v>
      </c>
      <c r="D1386" s="6"/>
      <c r="E1386" s="6"/>
      <c r="F1386" s="1">
        <v>0</v>
      </c>
      <c r="G1386" s="1">
        <v>0</v>
      </c>
      <c r="H1386" s="1">
        <v>0</v>
      </c>
      <c r="I1386" s="13">
        <v>50</v>
      </c>
      <c r="J1386" s="13">
        <v>20595.47</v>
      </c>
      <c r="K1386" s="1">
        <v>0</v>
      </c>
    </row>
    <row r="1387" spans="1:11">
      <c r="A1387" s="1" t="s">
        <v>119</v>
      </c>
      <c r="B1387" s="1" t="s">
        <v>119</v>
      </c>
      <c r="C1387" s="1" t="s">
        <v>94</v>
      </c>
      <c r="D1387" s="1" t="str">
        <f>""</f>
        <v/>
      </c>
      <c r="E1387" s="1" t="s">
        <v>112</v>
      </c>
      <c r="F1387" s="5">
        <v>0</v>
      </c>
      <c r="G1387" s="5">
        <v>0</v>
      </c>
      <c r="H1387" s="5">
        <v>0.02</v>
      </c>
      <c r="I1387" s="5">
        <v>-0.02</v>
      </c>
      <c r="J1387" s="5">
        <v>24296.07</v>
      </c>
      <c r="K1387" s="5">
        <v>0</v>
      </c>
    </row>
    <row r="1388" spans="1:11">
      <c r="A1388" s="1" t="str">
        <f>"20200320"</f>
        <v>20200320</v>
      </c>
      <c r="B1388" s="1" t="str">
        <f>"20200320"</f>
        <v>20200320</v>
      </c>
      <c r="C1388" s="1" t="str">
        <f>"利息归本"</f>
        <v>利息归本</v>
      </c>
      <c r="D1388" s="6"/>
      <c r="E1388" s="6"/>
      <c r="F1388" s="1">
        <v>0</v>
      </c>
      <c r="G1388" s="1">
        <v>0</v>
      </c>
      <c r="H1388" s="1">
        <v>0</v>
      </c>
      <c r="I1388" s="13">
        <v>2.47</v>
      </c>
      <c r="J1388" s="13">
        <v>24298.54</v>
      </c>
      <c r="K1388" s="1">
        <v>0</v>
      </c>
    </row>
    <row r="1389" spans="1:11">
      <c r="A1389" s="1" t="s">
        <v>120</v>
      </c>
      <c r="B1389" s="1" t="s">
        <v>120</v>
      </c>
      <c r="C1389" s="1" t="s">
        <v>94</v>
      </c>
      <c r="D1389" s="1" t="str">
        <f>""</f>
        <v/>
      </c>
      <c r="E1389" s="1" t="s">
        <v>112</v>
      </c>
      <c r="F1389" s="5">
        <v>0</v>
      </c>
      <c r="G1389" s="5">
        <v>0</v>
      </c>
      <c r="H1389" s="5">
        <v>0.02</v>
      </c>
      <c r="I1389" s="5">
        <v>-0.02</v>
      </c>
      <c r="J1389" s="5">
        <v>24298.52</v>
      </c>
      <c r="K1389" s="5">
        <v>0</v>
      </c>
    </row>
    <row r="1390" spans="1:11">
      <c r="A1390" s="1" t="str">
        <f>"20200323"</f>
        <v>20200323</v>
      </c>
      <c r="B1390" s="1" t="str">
        <f>"0"</f>
        <v>0</v>
      </c>
      <c r="C1390" s="1" t="str">
        <f>"基金红利拨入"</f>
        <v>基金红利拨入</v>
      </c>
      <c r="D1390" s="1" t="str">
        <f>"AA0007"</f>
        <v>AA0007</v>
      </c>
      <c r="E1390" s="1" t="str">
        <f>"银河水星1号集合"</f>
        <v>银河水星1号集合</v>
      </c>
      <c r="F1390" s="1">
        <v>0</v>
      </c>
      <c r="G1390" s="1">
        <v>0</v>
      </c>
      <c r="H1390" s="1">
        <v>2.04</v>
      </c>
      <c r="I1390" s="13">
        <v>2.04</v>
      </c>
      <c r="J1390" s="13">
        <v>24300.56</v>
      </c>
      <c r="K1390" s="1">
        <v>0</v>
      </c>
    </row>
    <row r="1391" spans="1:11">
      <c r="A1391" s="4" t="s">
        <v>121</v>
      </c>
      <c r="B1391" s="4" t="s">
        <v>119</v>
      </c>
      <c r="C1391" s="4" t="s">
        <v>109</v>
      </c>
      <c r="D1391" s="1" t="str">
        <f>"00386"</f>
        <v>00386</v>
      </c>
      <c r="E1391" s="4" t="s">
        <v>110</v>
      </c>
      <c r="F1391" s="7">
        <v>2.95</v>
      </c>
      <c r="G1391" s="7">
        <v>8000</v>
      </c>
      <c r="H1391" s="7">
        <v>23627.12</v>
      </c>
      <c r="I1391" s="7">
        <v>-23666.73</v>
      </c>
      <c r="J1391" s="7">
        <v>633.83</v>
      </c>
      <c r="K1391" s="7">
        <v>26000</v>
      </c>
    </row>
    <row r="1392" spans="1:11">
      <c r="A1392" s="4" t="s">
        <v>121</v>
      </c>
      <c r="B1392" s="4" t="s">
        <v>121</v>
      </c>
      <c r="C1392" s="4" t="s">
        <v>94</v>
      </c>
      <c r="D1392" s="1" t="str">
        <f t="shared" ref="D1392:D1401" si="875">""</f>
        <v/>
      </c>
      <c r="E1392" s="4" t="s">
        <v>112</v>
      </c>
      <c r="F1392" s="7">
        <v>0</v>
      </c>
      <c r="G1392" s="7">
        <v>0</v>
      </c>
      <c r="H1392" s="7">
        <v>0.06</v>
      </c>
      <c r="I1392" s="7">
        <v>-0.06</v>
      </c>
      <c r="J1392" s="7">
        <v>633.77</v>
      </c>
      <c r="K1392" s="7">
        <v>0</v>
      </c>
    </row>
    <row r="1393" spans="1:11">
      <c r="A1393" s="4" t="s">
        <v>122</v>
      </c>
      <c r="B1393" s="4" t="s">
        <v>122</v>
      </c>
      <c r="C1393" s="4" t="s">
        <v>94</v>
      </c>
      <c r="D1393" s="1" t="str">
        <f t="shared" si="875"/>
        <v/>
      </c>
      <c r="E1393" s="4" t="s">
        <v>112</v>
      </c>
      <c r="F1393" s="7">
        <v>0</v>
      </c>
      <c r="G1393" s="7">
        <v>0</v>
      </c>
      <c r="H1393" s="7">
        <v>0.02</v>
      </c>
      <c r="I1393" s="7">
        <v>-0.02</v>
      </c>
      <c r="J1393" s="7">
        <v>633.75</v>
      </c>
      <c r="K1393" s="7">
        <v>0</v>
      </c>
    </row>
    <row r="1394" spans="1:11">
      <c r="A1394" s="4" t="s">
        <v>123</v>
      </c>
      <c r="B1394" s="4" t="s">
        <v>123</v>
      </c>
      <c r="C1394" s="4" t="s">
        <v>94</v>
      </c>
      <c r="D1394" s="1" t="str">
        <f t="shared" si="875"/>
        <v/>
      </c>
      <c r="E1394" s="4" t="s">
        <v>112</v>
      </c>
      <c r="F1394" s="7">
        <v>0</v>
      </c>
      <c r="G1394" s="7">
        <v>0</v>
      </c>
      <c r="H1394" s="7">
        <v>0.02</v>
      </c>
      <c r="I1394" s="7">
        <v>-0.02</v>
      </c>
      <c r="J1394" s="7">
        <v>633.73</v>
      </c>
      <c r="K1394" s="7">
        <v>0</v>
      </c>
    </row>
    <row r="1395" spans="1:11">
      <c r="A1395" s="4" t="s">
        <v>124</v>
      </c>
      <c r="B1395" s="4" t="s">
        <v>124</v>
      </c>
      <c r="C1395" s="4" t="s">
        <v>94</v>
      </c>
      <c r="D1395" s="1" t="str">
        <f t="shared" si="875"/>
        <v/>
      </c>
      <c r="E1395" s="4" t="s">
        <v>112</v>
      </c>
      <c r="F1395" s="7">
        <v>0</v>
      </c>
      <c r="G1395" s="7">
        <v>0</v>
      </c>
      <c r="H1395" s="7">
        <v>0.03</v>
      </c>
      <c r="I1395" s="7">
        <v>-0.03</v>
      </c>
      <c r="J1395" s="7">
        <v>633.7</v>
      </c>
      <c r="K1395" s="7">
        <v>0</v>
      </c>
    </row>
    <row r="1396" spans="1:11">
      <c r="A1396" s="4" t="s">
        <v>125</v>
      </c>
      <c r="B1396" s="4" t="s">
        <v>125</v>
      </c>
      <c r="C1396" s="4" t="s">
        <v>94</v>
      </c>
      <c r="D1396" s="1" t="str">
        <f t="shared" si="875"/>
        <v/>
      </c>
      <c r="E1396" s="4" t="s">
        <v>112</v>
      </c>
      <c r="F1396" s="7">
        <v>0</v>
      </c>
      <c r="G1396" s="7">
        <v>0</v>
      </c>
      <c r="H1396" s="7">
        <v>0.03</v>
      </c>
      <c r="I1396" s="7">
        <v>-0.03</v>
      </c>
      <c r="J1396" s="7">
        <v>633.67</v>
      </c>
      <c r="K1396" s="7">
        <v>0</v>
      </c>
    </row>
    <row r="1397" spans="1:11">
      <c r="A1397" s="4" t="s">
        <v>126</v>
      </c>
      <c r="B1397" s="4" t="s">
        <v>126</v>
      </c>
      <c r="C1397" s="4" t="s">
        <v>94</v>
      </c>
      <c r="D1397" s="1" t="str">
        <f t="shared" si="875"/>
        <v/>
      </c>
      <c r="E1397" s="4" t="s">
        <v>112</v>
      </c>
      <c r="F1397" s="7">
        <v>0</v>
      </c>
      <c r="G1397" s="7">
        <v>0</v>
      </c>
      <c r="H1397" s="7">
        <v>0.08</v>
      </c>
      <c r="I1397" s="7">
        <v>-0.08</v>
      </c>
      <c r="J1397" s="7">
        <v>633.59</v>
      </c>
      <c r="K1397" s="7">
        <v>0</v>
      </c>
    </row>
    <row r="1398" spans="1:11">
      <c r="A1398" s="4" t="s">
        <v>127</v>
      </c>
      <c r="B1398" s="4" t="s">
        <v>127</v>
      </c>
      <c r="C1398" s="4" t="s">
        <v>94</v>
      </c>
      <c r="D1398" s="1" t="str">
        <f t="shared" si="875"/>
        <v/>
      </c>
      <c r="E1398" s="4" t="s">
        <v>112</v>
      </c>
      <c r="F1398" s="7">
        <v>0</v>
      </c>
      <c r="G1398" s="7">
        <v>0</v>
      </c>
      <c r="H1398" s="7">
        <v>0.03</v>
      </c>
      <c r="I1398" s="7">
        <v>-0.03</v>
      </c>
      <c r="J1398" s="7">
        <v>633.56</v>
      </c>
      <c r="K1398" s="7">
        <v>0</v>
      </c>
    </row>
    <row r="1399" spans="1:11">
      <c r="A1399" s="1" t="s">
        <v>128</v>
      </c>
      <c r="B1399" s="1" t="s">
        <v>128</v>
      </c>
      <c r="C1399" s="1" t="s">
        <v>94</v>
      </c>
      <c r="D1399" s="1" t="str">
        <f t="shared" si="875"/>
        <v/>
      </c>
      <c r="E1399" s="1" t="s">
        <v>112</v>
      </c>
      <c r="F1399" s="5">
        <v>0</v>
      </c>
      <c r="G1399" s="5">
        <v>0</v>
      </c>
      <c r="H1399" s="5">
        <v>0.03</v>
      </c>
      <c r="I1399" s="5">
        <v>-0.03</v>
      </c>
      <c r="J1399" s="5">
        <v>633.53</v>
      </c>
      <c r="K1399" s="5">
        <v>0</v>
      </c>
    </row>
    <row r="1400" spans="1:11">
      <c r="A1400" s="1" t="s">
        <v>129</v>
      </c>
      <c r="B1400" s="1" t="s">
        <v>129</v>
      </c>
      <c r="C1400" s="1" t="s">
        <v>94</v>
      </c>
      <c r="D1400" s="1" t="str">
        <f t="shared" si="875"/>
        <v/>
      </c>
      <c r="E1400" s="1" t="s">
        <v>112</v>
      </c>
      <c r="F1400" s="5">
        <v>0</v>
      </c>
      <c r="G1400" s="5">
        <v>0</v>
      </c>
      <c r="H1400" s="5">
        <v>0.03</v>
      </c>
      <c r="I1400" s="5">
        <v>-0.03</v>
      </c>
      <c r="J1400" s="5">
        <v>633.5</v>
      </c>
      <c r="K1400" s="5">
        <v>0</v>
      </c>
    </row>
    <row r="1401" spans="1:11">
      <c r="A1401" s="1" t="s">
        <v>130</v>
      </c>
      <c r="B1401" s="1" t="s">
        <v>130</v>
      </c>
      <c r="C1401" s="1" t="s">
        <v>94</v>
      </c>
      <c r="D1401" s="1" t="str">
        <f t="shared" si="875"/>
        <v/>
      </c>
      <c r="E1401" s="1" t="s">
        <v>112</v>
      </c>
      <c r="F1401" s="5">
        <v>0</v>
      </c>
      <c r="G1401" s="5">
        <v>0</v>
      </c>
      <c r="H1401" s="5">
        <v>0.03</v>
      </c>
      <c r="I1401" s="5">
        <v>-0.03</v>
      </c>
      <c r="J1401" s="5">
        <v>633.47</v>
      </c>
      <c r="K1401" s="5">
        <v>0</v>
      </c>
    </row>
    <row r="1402" spans="1:11">
      <c r="A1402" s="1" t="s">
        <v>131</v>
      </c>
      <c r="B1402" s="1" t="s">
        <v>131</v>
      </c>
      <c r="C1402" s="1" t="s">
        <v>94</v>
      </c>
      <c r="D1402" s="1" t="str">
        <f t="shared" ref="D1402:D1411" si="876">""</f>
        <v/>
      </c>
      <c r="E1402" s="1" t="s">
        <v>112</v>
      </c>
      <c r="F1402" s="5">
        <v>0</v>
      </c>
      <c r="G1402" s="5">
        <v>0</v>
      </c>
      <c r="H1402" s="5">
        <v>0.11</v>
      </c>
      <c r="I1402" s="5">
        <v>-0.11</v>
      </c>
      <c r="J1402" s="5">
        <v>633.36</v>
      </c>
      <c r="K1402" s="5">
        <v>0</v>
      </c>
    </row>
    <row r="1403" spans="1:11">
      <c r="A1403" s="1" t="s">
        <v>132</v>
      </c>
      <c r="B1403" s="1" t="s">
        <v>132</v>
      </c>
      <c r="C1403" s="1" t="s">
        <v>94</v>
      </c>
      <c r="D1403" s="1" t="str">
        <f t="shared" si="876"/>
        <v/>
      </c>
      <c r="E1403" s="1" t="s">
        <v>112</v>
      </c>
      <c r="F1403" s="5">
        <v>0</v>
      </c>
      <c r="G1403" s="5">
        <v>0</v>
      </c>
      <c r="H1403" s="5">
        <v>0.03</v>
      </c>
      <c r="I1403" s="5">
        <v>-0.03</v>
      </c>
      <c r="J1403" s="5">
        <v>633.33</v>
      </c>
      <c r="K1403" s="5">
        <v>0</v>
      </c>
    </row>
    <row r="1404" spans="1:11">
      <c r="A1404" s="1" t="s">
        <v>133</v>
      </c>
      <c r="B1404" s="1" t="s">
        <v>133</v>
      </c>
      <c r="C1404" s="1" t="s">
        <v>94</v>
      </c>
      <c r="D1404" s="1" t="str">
        <f t="shared" si="876"/>
        <v/>
      </c>
      <c r="E1404" s="1" t="s">
        <v>112</v>
      </c>
      <c r="F1404" s="5">
        <v>0</v>
      </c>
      <c r="G1404" s="5">
        <v>0</v>
      </c>
      <c r="H1404" s="5">
        <v>0.03</v>
      </c>
      <c r="I1404" s="5">
        <v>-0.03</v>
      </c>
      <c r="J1404" s="5">
        <v>633.3</v>
      </c>
      <c r="K1404" s="5">
        <v>0</v>
      </c>
    </row>
    <row r="1405" spans="1:11">
      <c r="A1405" s="1" t="s">
        <v>134</v>
      </c>
      <c r="B1405" s="1" t="s">
        <v>134</v>
      </c>
      <c r="C1405" s="1" t="s">
        <v>94</v>
      </c>
      <c r="D1405" s="1" t="str">
        <f t="shared" si="876"/>
        <v/>
      </c>
      <c r="E1405" s="1" t="s">
        <v>112</v>
      </c>
      <c r="F1405" s="5">
        <v>0</v>
      </c>
      <c r="G1405" s="5">
        <v>0</v>
      </c>
      <c r="H1405" s="5">
        <v>0.14</v>
      </c>
      <c r="I1405" s="5">
        <v>-0.14</v>
      </c>
      <c r="J1405" s="5">
        <v>633.16</v>
      </c>
      <c r="K1405" s="5">
        <v>0</v>
      </c>
    </row>
    <row r="1406" spans="1:11">
      <c r="A1406" s="1" t="s">
        <v>135</v>
      </c>
      <c r="B1406" s="1" t="s">
        <v>135</v>
      </c>
      <c r="C1406" s="1" t="s">
        <v>94</v>
      </c>
      <c r="D1406" s="1" t="str">
        <f t="shared" si="876"/>
        <v/>
      </c>
      <c r="E1406" s="1" t="s">
        <v>112</v>
      </c>
      <c r="F1406" s="5">
        <v>0</v>
      </c>
      <c r="G1406" s="5">
        <v>0</v>
      </c>
      <c r="H1406" s="5">
        <v>0.03</v>
      </c>
      <c r="I1406" s="5">
        <v>-0.03</v>
      </c>
      <c r="J1406" s="5">
        <v>633.13</v>
      </c>
      <c r="K1406" s="5">
        <v>0</v>
      </c>
    </row>
    <row r="1407" spans="1:11">
      <c r="A1407" s="1" t="s">
        <v>136</v>
      </c>
      <c r="B1407" s="1" t="s">
        <v>136</v>
      </c>
      <c r="C1407" s="1" t="s">
        <v>94</v>
      </c>
      <c r="D1407" s="1" t="str">
        <f t="shared" si="876"/>
        <v/>
      </c>
      <c r="E1407" s="1" t="s">
        <v>112</v>
      </c>
      <c r="F1407" s="5">
        <v>0</v>
      </c>
      <c r="G1407" s="5">
        <v>0</v>
      </c>
      <c r="H1407" s="5">
        <v>0.03</v>
      </c>
      <c r="I1407" s="5">
        <v>-0.03</v>
      </c>
      <c r="J1407" s="5">
        <v>633.1</v>
      </c>
      <c r="K1407" s="5">
        <v>0</v>
      </c>
    </row>
    <row r="1408" spans="1:11">
      <c r="A1408" s="1" t="s">
        <v>137</v>
      </c>
      <c r="B1408" s="1" t="s">
        <v>137</v>
      </c>
      <c r="C1408" s="1" t="s">
        <v>94</v>
      </c>
      <c r="D1408" s="1" t="str">
        <f t="shared" si="876"/>
        <v/>
      </c>
      <c r="E1408" s="1" t="s">
        <v>112</v>
      </c>
      <c r="F1408" s="5">
        <v>0</v>
      </c>
      <c r="G1408" s="5">
        <v>0</v>
      </c>
      <c r="H1408" s="5">
        <v>0.03</v>
      </c>
      <c r="I1408" s="5">
        <v>-0.03</v>
      </c>
      <c r="J1408" s="5">
        <v>633.07</v>
      </c>
      <c r="K1408" s="5">
        <v>0</v>
      </c>
    </row>
    <row r="1409" spans="1:11">
      <c r="A1409" s="1" t="s">
        <v>138</v>
      </c>
      <c r="B1409" s="1" t="s">
        <v>138</v>
      </c>
      <c r="C1409" s="1" t="s">
        <v>94</v>
      </c>
      <c r="D1409" s="1" t="str">
        <f t="shared" si="876"/>
        <v/>
      </c>
      <c r="E1409" s="1" t="s">
        <v>112</v>
      </c>
      <c r="F1409" s="5">
        <v>0</v>
      </c>
      <c r="G1409" s="5">
        <v>0</v>
      </c>
      <c r="H1409" s="5">
        <v>0.08</v>
      </c>
      <c r="I1409" s="5">
        <v>-0.08</v>
      </c>
      <c r="J1409" s="5">
        <v>632.99</v>
      </c>
      <c r="K1409" s="5">
        <v>0</v>
      </c>
    </row>
    <row r="1410" spans="1:11">
      <c r="A1410" s="1" t="s">
        <v>139</v>
      </c>
      <c r="B1410" s="1" t="s">
        <v>139</v>
      </c>
      <c r="C1410" s="1" t="s">
        <v>94</v>
      </c>
      <c r="D1410" s="1" t="str">
        <f t="shared" si="876"/>
        <v/>
      </c>
      <c r="E1410" s="1" t="s">
        <v>112</v>
      </c>
      <c r="F1410" s="5">
        <v>0</v>
      </c>
      <c r="G1410" s="5">
        <v>0</v>
      </c>
      <c r="H1410" s="5">
        <v>0.03</v>
      </c>
      <c r="I1410" s="5">
        <v>-0.03</v>
      </c>
      <c r="J1410" s="5">
        <v>632.96</v>
      </c>
      <c r="K1410" s="5">
        <v>0</v>
      </c>
    </row>
    <row r="1411" spans="1:11">
      <c r="A1411" s="1" t="s">
        <v>140</v>
      </c>
      <c r="B1411" s="1" t="s">
        <v>140</v>
      </c>
      <c r="C1411" s="1" t="s">
        <v>94</v>
      </c>
      <c r="D1411" s="1" t="str">
        <f t="shared" si="876"/>
        <v/>
      </c>
      <c r="E1411" s="1" t="s">
        <v>112</v>
      </c>
      <c r="F1411" s="5">
        <v>0</v>
      </c>
      <c r="G1411" s="5">
        <v>0</v>
      </c>
      <c r="H1411" s="5">
        <v>0.03</v>
      </c>
      <c r="I1411" s="5">
        <v>-0.03</v>
      </c>
      <c r="J1411" s="5">
        <v>632.93</v>
      </c>
      <c r="K1411" s="5">
        <v>0</v>
      </c>
    </row>
    <row r="1412" spans="1:11">
      <c r="A1412" s="1" t="s">
        <v>141</v>
      </c>
      <c r="B1412" s="1" t="s">
        <v>141</v>
      </c>
      <c r="C1412" s="1" t="s">
        <v>94</v>
      </c>
      <c r="D1412" s="1" t="str">
        <f t="shared" ref="D1412:D1422" si="877">""</f>
        <v/>
      </c>
      <c r="E1412" s="1" t="s">
        <v>112</v>
      </c>
      <c r="F1412" s="5">
        <v>0</v>
      </c>
      <c r="G1412" s="5">
        <v>0</v>
      </c>
      <c r="H1412" s="5">
        <v>0.03</v>
      </c>
      <c r="I1412" s="5">
        <v>-0.03</v>
      </c>
      <c r="J1412" s="5">
        <v>632.9</v>
      </c>
      <c r="K1412" s="5">
        <v>0</v>
      </c>
    </row>
    <row r="1413" spans="1:11">
      <c r="A1413" s="1" t="s">
        <v>142</v>
      </c>
      <c r="B1413" s="1" t="s">
        <v>142</v>
      </c>
      <c r="C1413" s="1" t="s">
        <v>94</v>
      </c>
      <c r="D1413" s="1" t="str">
        <f t="shared" si="877"/>
        <v/>
      </c>
      <c r="E1413" s="1" t="s">
        <v>112</v>
      </c>
      <c r="F1413" s="5">
        <v>0</v>
      </c>
      <c r="G1413" s="5">
        <v>0</v>
      </c>
      <c r="H1413" s="5">
        <v>0.03</v>
      </c>
      <c r="I1413" s="5">
        <v>-0.03</v>
      </c>
      <c r="J1413" s="5">
        <v>632.87</v>
      </c>
      <c r="K1413" s="5">
        <v>0</v>
      </c>
    </row>
    <row r="1414" spans="1:11">
      <c r="A1414" s="1" t="s">
        <v>143</v>
      </c>
      <c r="B1414" s="1" t="s">
        <v>143</v>
      </c>
      <c r="C1414" s="1" t="s">
        <v>94</v>
      </c>
      <c r="D1414" s="1" t="str">
        <f t="shared" si="877"/>
        <v/>
      </c>
      <c r="E1414" s="1" t="s">
        <v>112</v>
      </c>
      <c r="F1414" s="5">
        <v>0</v>
      </c>
      <c r="G1414" s="5">
        <v>0</v>
      </c>
      <c r="H1414" s="5">
        <v>0.08</v>
      </c>
      <c r="I1414" s="5">
        <v>-0.08</v>
      </c>
      <c r="J1414" s="5">
        <v>632.79</v>
      </c>
      <c r="K1414" s="5">
        <v>0</v>
      </c>
    </row>
    <row r="1415" spans="1:11">
      <c r="A1415" s="1" t="s">
        <v>144</v>
      </c>
      <c r="B1415" s="1" t="s">
        <v>144</v>
      </c>
      <c r="C1415" s="1" t="s">
        <v>94</v>
      </c>
      <c r="D1415" s="1" t="str">
        <f t="shared" si="877"/>
        <v/>
      </c>
      <c r="E1415" s="1" t="s">
        <v>112</v>
      </c>
      <c r="F1415" s="5">
        <v>0</v>
      </c>
      <c r="G1415" s="5">
        <v>0</v>
      </c>
      <c r="H1415" s="5">
        <v>0.03</v>
      </c>
      <c r="I1415" s="5">
        <v>-0.03</v>
      </c>
      <c r="J1415" s="5">
        <v>632.76</v>
      </c>
      <c r="K1415" s="5">
        <v>0</v>
      </c>
    </row>
    <row r="1416" spans="1:11">
      <c r="A1416" s="1" t="s">
        <v>145</v>
      </c>
      <c r="B1416" s="1" t="s">
        <v>145</v>
      </c>
      <c r="C1416" s="1" t="s">
        <v>94</v>
      </c>
      <c r="D1416" s="1" t="str">
        <f t="shared" si="877"/>
        <v/>
      </c>
      <c r="E1416" s="1" t="s">
        <v>112</v>
      </c>
      <c r="F1416" s="5">
        <v>0</v>
      </c>
      <c r="G1416" s="5">
        <v>0</v>
      </c>
      <c r="H1416" s="5">
        <v>0.03</v>
      </c>
      <c r="I1416" s="5">
        <v>-0.03</v>
      </c>
      <c r="J1416" s="5">
        <v>632.73</v>
      </c>
      <c r="K1416" s="5">
        <v>0</v>
      </c>
    </row>
    <row r="1417" spans="1:11">
      <c r="A1417" s="1" t="s">
        <v>146</v>
      </c>
      <c r="B1417" s="1" t="s">
        <v>146</v>
      </c>
      <c r="C1417" s="1" t="s">
        <v>94</v>
      </c>
      <c r="D1417" s="1" t="str">
        <f t="shared" si="877"/>
        <v/>
      </c>
      <c r="E1417" s="1" t="s">
        <v>112</v>
      </c>
      <c r="F1417" s="5">
        <v>0</v>
      </c>
      <c r="G1417" s="5">
        <v>0</v>
      </c>
      <c r="H1417" s="5">
        <v>0.2</v>
      </c>
      <c r="I1417" s="5">
        <v>-0.2</v>
      </c>
      <c r="J1417" s="5">
        <v>632.53</v>
      </c>
      <c r="K1417" s="5">
        <v>0</v>
      </c>
    </row>
    <row r="1418" spans="1:11">
      <c r="A1418" s="1" t="s">
        <v>147</v>
      </c>
      <c r="B1418" s="1" t="s">
        <v>147</v>
      </c>
      <c r="C1418" s="1" t="s">
        <v>94</v>
      </c>
      <c r="D1418" s="1" t="str">
        <f t="shared" si="877"/>
        <v/>
      </c>
      <c r="E1418" s="1" t="s">
        <v>112</v>
      </c>
      <c r="F1418" s="5">
        <v>0</v>
      </c>
      <c r="G1418" s="5">
        <v>0</v>
      </c>
      <c r="H1418" s="5">
        <v>0.03</v>
      </c>
      <c r="I1418" s="5">
        <v>-0.03</v>
      </c>
      <c r="J1418" s="5">
        <v>632.5</v>
      </c>
      <c r="K1418" s="5">
        <v>0</v>
      </c>
    </row>
    <row r="1419" spans="1:11">
      <c r="A1419" s="1" t="s">
        <v>148</v>
      </c>
      <c r="B1419" s="1" t="s">
        <v>148</v>
      </c>
      <c r="C1419" s="1" t="s">
        <v>94</v>
      </c>
      <c r="D1419" s="1" t="str">
        <f t="shared" si="877"/>
        <v/>
      </c>
      <c r="E1419" s="1" t="s">
        <v>112</v>
      </c>
      <c r="F1419" s="5">
        <v>0</v>
      </c>
      <c r="G1419" s="5">
        <v>0</v>
      </c>
      <c r="H1419" s="5">
        <v>0.03</v>
      </c>
      <c r="I1419" s="5">
        <v>-0.03</v>
      </c>
      <c r="J1419" s="5">
        <v>632.47</v>
      </c>
      <c r="K1419" s="5">
        <v>0</v>
      </c>
    </row>
    <row r="1420" spans="1:11">
      <c r="A1420" s="1" t="s">
        <v>149</v>
      </c>
      <c r="B1420" s="1" t="s">
        <v>149</v>
      </c>
      <c r="C1420" s="1" t="s">
        <v>94</v>
      </c>
      <c r="D1420" s="1" t="str">
        <f t="shared" si="877"/>
        <v/>
      </c>
      <c r="E1420" s="1" t="s">
        <v>112</v>
      </c>
      <c r="F1420" s="5">
        <v>0</v>
      </c>
      <c r="G1420" s="5">
        <v>0</v>
      </c>
      <c r="H1420" s="5">
        <v>0.08</v>
      </c>
      <c r="I1420" s="5">
        <v>-0.08</v>
      </c>
      <c r="J1420" s="5">
        <v>632.39</v>
      </c>
      <c r="K1420" s="5">
        <v>0</v>
      </c>
    </row>
    <row r="1421" spans="1:11">
      <c r="A1421" s="1" t="s">
        <v>150</v>
      </c>
      <c r="B1421" s="1" t="s">
        <v>150</v>
      </c>
      <c r="C1421" s="1" t="s">
        <v>94</v>
      </c>
      <c r="D1421" s="1" t="str">
        <f t="shared" si="877"/>
        <v/>
      </c>
      <c r="E1421" s="1" t="s">
        <v>112</v>
      </c>
      <c r="F1421" s="5">
        <v>0</v>
      </c>
      <c r="G1421" s="5">
        <v>0</v>
      </c>
      <c r="H1421" s="5">
        <v>0.03</v>
      </c>
      <c r="I1421" s="5">
        <v>-0.03</v>
      </c>
      <c r="J1421" s="5">
        <v>632.36</v>
      </c>
      <c r="K1421" s="5">
        <v>0</v>
      </c>
    </row>
    <row r="1422" spans="1:11">
      <c r="A1422" s="1" t="s">
        <v>151</v>
      </c>
      <c r="B1422" s="1" t="s">
        <v>151</v>
      </c>
      <c r="C1422" s="1" t="s">
        <v>94</v>
      </c>
      <c r="D1422" s="1" t="str">
        <f t="shared" si="877"/>
        <v/>
      </c>
      <c r="E1422" s="1" t="s">
        <v>112</v>
      </c>
      <c r="F1422" s="5">
        <v>0</v>
      </c>
      <c r="G1422" s="5">
        <v>0</v>
      </c>
      <c r="H1422" s="5">
        <v>0.03</v>
      </c>
      <c r="I1422" s="5">
        <v>-0.03</v>
      </c>
      <c r="J1422" s="5">
        <v>632.33</v>
      </c>
      <c r="K1422" s="5">
        <v>0</v>
      </c>
    </row>
    <row r="1423" spans="1:11">
      <c r="A1423" s="1" t="str">
        <f>"20200514"</f>
        <v>20200514</v>
      </c>
      <c r="B1423" s="1" t="str">
        <f>"20200514"</f>
        <v>20200514</v>
      </c>
      <c r="C1423" s="1" t="str">
        <f>"证券买入"</f>
        <v>证券买入</v>
      </c>
      <c r="D1423" s="1" t="str">
        <f>"150197"</f>
        <v>150197</v>
      </c>
      <c r="E1423" s="1" t="str">
        <f>"有色B"</f>
        <v>有色B</v>
      </c>
      <c r="F1423" s="1">
        <v>0.458</v>
      </c>
      <c r="G1423" s="1">
        <v>3500</v>
      </c>
      <c r="H1423" s="1">
        <v>1603</v>
      </c>
      <c r="I1423" s="1">
        <v>-1608</v>
      </c>
      <c r="J1423" s="1">
        <v>24.33</v>
      </c>
      <c r="K1423" s="1">
        <v>3500</v>
      </c>
    </row>
    <row r="1424" spans="1:11">
      <c r="A1424" s="1" t="str">
        <f>"20200514"</f>
        <v>20200514</v>
      </c>
      <c r="B1424" s="1" t="str">
        <f>"20200514"</f>
        <v>20200514</v>
      </c>
      <c r="C1424" s="1" t="str">
        <f>"银行转证券"</f>
        <v>银行转证券</v>
      </c>
      <c r="D1424" s="6"/>
      <c r="E1424" s="6"/>
      <c r="F1424" s="1">
        <v>0</v>
      </c>
      <c r="G1424" s="1">
        <v>0</v>
      </c>
      <c r="H1424" s="1">
        <v>0</v>
      </c>
      <c r="I1424" s="1">
        <v>1000</v>
      </c>
      <c r="J1424" s="1">
        <v>1632.33</v>
      </c>
      <c r="K1424" s="1">
        <v>0</v>
      </c>
    </row>
    <row r="1425" spans="1:11">
      <c r="A1425" s="1" t="s">
        <v>152</v>
      </c>
      <c r="B1425" s="1" t="s">
        <v>152</v>
      </c>
      <c r="C1425" s="1" t="s">
        <v>94</v>
      </c>
      <c r="D1425" s="1" t="str">
        <f>""</f>
        <v/>
      </c>
      <c r="E1425" s="1" t="s">
        <v>112</v>
      </c>
      <c r="F1425" s="5">
        <v>0</v>
      </c>
      <c r="G1425" s="5">
        <v>0</v>
      </c>
      <c r="H1425" s="5">
        <v>0.03</v>
      </c>
      <c r="I1425" s="5">
        <v>-0.03</v>
      </c>
      <c r="J1425" s="5">
        <v>24.3</v>
      </c>
      <c r="K1425" s="5">
        <v>0</v>
      </c>
    </row>
    <row r="1426" spans="1:11">
      <c r="A1426" s="1" t="s">
        <v>153</v>
      </c>
      <c r="B1426" s="1" t="s">
        <v>153</v>
      </c>
      <c r="C1426" s="1" t="s">
        <v>94</v>
      </c>
      <c r="D1426" s="1" t="str">
        <f>""</f>
        <v/>
      </c>
      <c r="E1426" s="1" t="s">
        <v>112</v>
      </c>
      <c r="F1426" s="5">
        <v>0</v>
      </c>
      <c r="G1426" s="5">
        <v>0</v>
      </c>
      <c r="H1426" s="5">
        <v>0.03</v>
      </c>
      <c r="I1426" s="5">
        <v>-0.03</v>
      </c>
      <c r="J1426" s="5">
        <v>24.27</v>
      </c>
      <c r="K1426" s="5">
        <v>0</v>
      </c>
    </row>
    <row r="1427" spans="1:11">
      <c r="A1427" s="1" t="s">
        <v>154</v>
      </c>
      <c r="B1427" s="1" t="s">
        <v>154</v>
      </c>
      <c r="C1427" s="1" t="s">
        <v>94</v>
      </c>
      <c r="D1427" s="1" t="str">
        <f>""</f>
        <v/>
      </c>
      <c r="E1427" s="1" t="s">
        <v>112</v>
      </c>
      <c r="F1427" s="5">
        <v>0</v>
      </c>
      <c r="G1427" s="5">
        <v>0</v>
      </c>
      <c r="H1427" s="5">
        <v>0.08</v>
      </c>
      <c r="I1427" s="5">
        <v>-0.08</v>
      </c>
      <c r="J1427" s="5">
        <v>24.19</v>
      </c>
      <c r="K1427" s="5">
        <v>0</v>
      </c>
    </row>
    <row r="1428" spans="1:11">
      <c r="A1428" s="1" t="s">
        <v>155</v>
      </c>
      <c r="B1428" s="1" t="s">
        <v>155</v>
      </c>
      <c r="C1428" s="1" t="s">
        <v>94</v>
      </c>
      <c r="D1428" s="1" t="str">
        <f>""</f>
        <v/>
      </c>
      <c r="E1428" s="1" t="s">
        <v>112</v>
      </c>
      <c r="F1428" s="5">
        <v>0</v>
      </c>
      <c r="G1428" s="5">
        <v>0</v>
      </c>
      <c r="H1428" s="5">
        <v>0.03</v>
      </c>
      <c r="I1428" s="5">
        <v>-0.03</v>
      </c>
      <c r="J1428" s="5">
        <v>24.16</v>
      </c>
      <c r="K1428" s="5">
        <v>0</v>
      </c>
    </row>
    <row r="1429" spans="1:11">
      <c r="A1429" s="1" t="str">
        <f t="shared" ref="A1429:A1431" si="878">"20200520"</f>
        <v>20200520</v>
      </c>
      <c r="B1429" s="1" t="str">
        <f t="shared" ref="B1429:B1431" si="879">"20200520"</f>
        <v>20200520</v>
      </c>
      <c r="C1429" s="1" t="str">
        <f>"证券卖出"</f>
        <v>证券卖出</v>
      </c>
      <c r="D1429" s="1" t="str">
        <f>"128023"</f>
        <v>128023</v>
      </c>
      <c r="E1429" s="1" t="str">
        <f>"亚太转债"</f>
        <v>亚太转债</v>
      </c>
      <c r="F1429" s="1">
        <v>95.24</v>
      </c>
      <c r="G1429" s="1">
        <v>10</v>
      </c>
      <c r="H1429" s="1">
        <v>952.4</v>
      </c>
      <c r="I1429" s="1">
        <v>951.45</v>
      </c>
      <c r="J1429" s="1">
        <v>5</v>
      </c>
      <c r="K1429" s="1">
        <v>0</v>
      </c>
    </row>
    <row r="1430" spans="1:11">
      <c r="A1430" s="1" t="str">
        <f t="shared" si="878"/>
        <v>20200520</v>
      </c>
      <c r="B1430" s="1" t="str">
        <f t="shared" si="879"/>
        <v>20200520</v>
      </c>
      <c r="C1430" s="1" t="str">
        <f>"证券卖出"</f>
        <v>证券卖出</v>
      </c>
      <c r="D1430" s="1" t="str">
        <f>"150197"</f>
        <v>150197</v>
      </c>
      <c r="E1430" s="1" t="str">
        <f>"有色B"</f>
        <v>有色B</v>
      </c>
      <c r="F1430" s="1">
        <v>0.485</v>
      </c>
      <c r="G1430" s="1">
        <v>3500</v>
      </c>
      <c r="H1430" s="1">
        <v>1697.5</v>
      </c>
      <c r="I1430" s="1">
        <v>1692.5</v>
      </c>
      <c r="J1430" s="1">
        <v>-946.45</v>
      </c>
      <c r="K1430" s="1">
        <v>0</v>
      </c>
    </row>
    <row r="1431" spans="1:11">
      <c r="A1431" s="1" t="str">
        <f t="shared" si="878"/>
        <v>20200520</v>
      </c>
      <c r="B1431" s="1" t="str">
        <f t="shared" si="879"/>
        <v>20200520</v>
      </c>
      <c r="C1431" s="1" t="str">
        <f>"基金申购拨出"</f>
        <v>基金申购拨出</v>
      </c>
      <c r="D1431" s="1" t="str">
        <f t="shared" ref="D1431:D1435" si="880">"AA0007"</f>
        <v>AA0007</v>
      </c>
      <c r="E1431" s="1" t="str">
        <f t="shared" ref="E1431:E1435" si="881">"银河水星1号集合"</f>
        <v>银河水星1号集合</v>
      </c>
      <c r="F1431" s="1">
        <v>0</v>
      </c>
      <c r="G1431" s="1">
        <v>0</v>
      </c>
      <c r="H1431" s="1">
        <v>0</v>
      </c>
      <c r="I1431" s="1">
        <v>-2663.11</v>
      </c>
      <c r="J1431" s="1">
        <v>-2638.95</v>
      </c>
      <c r="K1431" s="1">
        <v>0</v>
      </c>
    </row>
    <row r="1432" spans="1:11">
      <c r="A1432" s="1" t="s">
        <v>156</v>
      </c>
      <c r="B1432" s="1" t="s">
        <v>156</v>
      </c>
      <c r="C1432" s="1" t="s">
        <v>94</v>
      </c>
      <c r="D1432" s="1" t="str">
        <f>""</f>
        <v/>
      </c>
      <c r="E1432" s="1" t="s">
        <v>112</v>
      </c>
      <c r="F1432" s="5">
        <v>0</v>
      </c>
      <c r="G1432" s="5">
        <v>0</v>
      </c>
      <c r="H1432" s="5">
        <v>0.03</v>
      </c>
      <c r="I1432" s="5">
        <v>-0.03</v>
      </c>
      <c r="J1432" s="5">
        <v>4.97</v>
      </c>
      <c r="K1432" s="5">
        <v>0</v>
      </c>
    </row>
    <row r="1433" spans="1:11">
      <c r="A1433" s="1" t="str">
        <f>"20200521"</f>
        <v>20200521</v>
      </c>
      <c r="B1433" s="1" t="str">
        <f>"20200521"</f>
        <v>20200521</v>
      </c>
      <c r="C1433" s="1" t="str">
        <f t="shared" ref="C1433:C1437" si="882">"基金赎回拨入"</f>
        <v>基金赎回拨入</v>
      </c>
      <c r="D1433" s="1" t="str">
        <f t="shared" si="880"/>
        <v>AA0007</v>
      </c>
      <c r="E1433" s="1" t="str">
        <f t="shared" si="881"/>
        <v>银河水星1号集合</v>
      </c>
      <c r="F1433" s="1">
        <v>0</v>
      </c>
      <c r="G1433" s="1">
        <v>0</v>
      </c>
      <c r="H1433" s="1">
        <v>0</v>
      </c>
      <c r="I1433" s="1">
        <v>0.03</v>
      </c>
      <c r="J1433" s="1">
        <v>5</v>
      </c>
      <c r="K1433" s="1">
        <v>0</v>
      </c>
    </row>
    <row r="1434" spans="1:11">
      <c r="A1434" s="1" t="s">
        <v>157</v>
      </c>
      <c r="B1434" s="1" t="s">
        <v>157</v>
      </c>
      <c r="C1434" s="1" t="s">
        <v>94</v>
      </c>
      <c r="D1434" s="1" t="str">
        <f>""</f>
        <v/>
      </c>
      <c r="E1434" s="1" t="s">
        <v>112</v>
      </c>
      <c r="F1434" s="5">
        <v>0</v>
      </c>
      <c r="G1434" s="5">
        <v>0</v>
      </c>
      <c r="H1434" s="5">
        <v>0.03</v>
      </c>
      <c r="I1434" s="5">
        <v>-0.03</v>
      </c>
      <c r="J1434" s="5">
        <v>4.97</v>
      </c>
      <c r="K1434" s="5">
        <v>0</v>
      </c>
    </row>
    <row r="1435" spans="1:11">
      <c r="A1435" s="1" t="str">
        <f>"20200522"</f>
        <v>20200522</v>
      </c>
      <c r="B1435" s="1" t="str">
        <f>"20200522"</f>
        <v>20200522</v>
      </c>
      <c r="C1435" s="1" t="str">
        <f t="shared" si="882"/>
        <v>基金赎回拨入</v>
      </c>
      <c r="D1435" s="1" t="str">
        <f t="shared" si="880"/>
        <v>AA0007</v>
      </c>
      <c r="E1435" s="1" t="str">
        <f t="shared" si="881"/>
        <v>银河水星1号集合</v>
      </c>
      <c r="F1435" s="1">
        <v>0</v>
      </c>
      <c r="G1435" s="1">
        <v>0</v>
      </c>
      <c r="H1435" s="1">
        <v>0</v>
      </c>
      <c r="I1435" s="1">
        <v>0.03</v>
      </c>
      <c r="J1435" s="1">
        <v>5</v>
      </c>
      <c r="K1435" s="1">
        <v>0</v>
      </c>
    </row>
    <row r="1436" spans="1:11">
      <c r="A1436" s="1" t="s">
        <v>158</v>
      </c>
      <c r="B1436" s="1" t="s">
        <v>158</v>
      </c>
      <c r="C1436" s="1" t="s">
        <v>94</v>
      </c>
      <c r="D1436" s="1" t="str">
        <f>""</f>
        <v/>
      </c>
      <c r="E1436" s="1" t="s">
        <v>112</v>
      </c>
      <c r="F1436" s="5">
        <v>0</v>
      </c>
      <c r="G1436" s="5">
        <v>0</v>
      </c>
      <c r="H1436" s="5">
        <v>0.03</v>
      </c>
      <c r="I1436" s="5">
        <v>-0.03</v>
      </c>
      <c r="J1436" s="5">
        <v>4.97</v>
      </c>
      <c r="K1436" s="5">
        <v>0</v>
      </c>
    </row>
    <row r="1437" spans="1:11">
      <c r="A1437" s="1" t="str">
        <f>"20200525"</f>
        <v>20200525</v>
      </c>
      <c r="B1437" s="1" t="str">
        <f>"20200525"</f>
        <v>20200525</v>
      </c>
      <c r="C1437" s="1" t="str">
        <f t="shared" si="882"/>
        <v>基金赎回拨入</v>
      </c>
      <c r="D1437" s="1" t="str">
        <f t="shared" ref="D1437:D1441" si="883">"AA0007"</f>
        <v>AA0007</v>
      </c>
      <c r="E1437" s="1" t="str">
        <f t="shared" ref="E1437:E1441" si="884">"银河水星1号集合"</f>
        <v>银河水星1号集合</v>
      </c>
      <c r="F1437" s="1">
        <v>0</v>
      </c>
      <c r="G1437" s="1">
        <v>0</v>
      </c>
      <c r="H1437" s="1">
        <v>0</v>
      </c>
      <c r="I1437" s="1">
        <v>0.03</v>
      </c>
      <c r="J1437" s="1">
        <v>5</v>
      </c>
      <c r="K1437" s="1">
        <v>0</v>
      </c>
    </row>
    <row r="1438" spans="1:11">
      <c r="A1438" s="1" t="s">
        <v>159</v>
      </c>
      <c r="B1438" s="1" t="s">
        <v>159</v>
      </c>
      <c r="C1438" s="1" t="s">
        <v>94</v>
      </c>
      <c r="D1438" s="1" t="str">
        <f>""</f>
        <v/>
      </c>
      <c r="E1438" s="1" t="s">
        <v>112</v>
      </c>
      <c r="F1438" s="5">
        <v>0</v>
      </c>
      <c r="G1438" s="5">
        <v>0</v>
      </c>
      <c r="H1438" s="5">
        <v>0.06</v>
      </c>
      <c r="I1438" s="5">
        <v>-0.06</v>
      </c>
      <c r="J1438" s="5">
        <v>4.94</v>
      </c>
      <c r="K1438" s="5">
        <v>0</v>
      </c>
    </row>
    <row r="1439" spans="1:11">
      <c r="A1439" s="1" t="str">
        <f>"20200526"</f>
        <v>20200526</v>
      </c>
      <c r="B1439" s="1" t="str">
        <f>"20200526"</f>
        <v>20200526</v>
      </c>
      <c r="C1439" s="1" t="str">
        <f t="shared" ref="C1439:C1444" si="885">"基金赎回拨入"</f>
        <v>基金赎回拨入</v>
      </c>
      <c r="D1439" s="1" t="str">
        <f t="shared" si="883"/>
        <v>AA0007</v>
      </c>
      <c r="E1439" s="1" t="str">
        <f t="shared" si="884"/>
        <v>银河水星1号集合</v>
      </c>
      <c r="F1439" s="1">
        <v>0</v>
      </c>
      <c r="G1439" s="1">
        <v>0</v>
      </c>
      <c r="H1439" s="1">
        <v>0</v>
      </c>
      <c r="I1439" s="1">
        <v>0.06</v>
      </c>
      <c r="J1439" s="1">
        <v>5</v>
      </c>
      <c r="K1439" s="1">
        <v>0</v>
      </c>
    </row>
    <row r="1440" spans="1:11">
      <c r="A1440" s="1" t="s">
        <v>160</v>
      </c>
      <c r="B1440" s="1" t="s">
        <v>160</v>
      </c>
      <c r="C1440" s="1" t="s">
        <v>94</v>
      </c>
      <c r="D1440" s="1" t="str">
        <f>""</f>
        <v/>
      </c>
      <c r="E1440" s="1" t="s">
        <v>112</v>
      </c>
      <c r="F1440" s="5">
        <v>0</v>
      </c>
      <c r="G1440" s="5">
        <v>0</v>
      </c>
      <c r="H1440" s="5">
        <v>0.02</v>
      </c>
      <c r="I1440" s="5">
        <v>-0.02</v>
      </c>
      <c r="J1440" s="5">
        <v>4.98</v>
      </c>
      <c r="K1440" s="5">
        <v>0</v>
      </c>
    </row>
    <row r="1441" spans="1:11">
      <c r="A1441" s="1" t="str">
        <f>"20200527"</f>
        <v>20200527</v>
      </c>
      <c r="B1441" s="1" t="str">
        <f>"20200527"</f>
        <v>20200527</v>
      </c>
      <c r="C1441" s="1" t="str">
        <f t="shared" si="885"/>
        <v>基金赎回拨入</v>
      </c>
      <c r="D1441" s="1" t="str">
        <f t="shared" si="883"/>
        <v>AA0007</v>
      </c>
      <c r="E1441" s="1" t="str">
        <f t="shared" si="884"/>
        <v>银河水星1号集合</v>
      </c>
      <c r="F1441" s="1">
        <v>0</v>
      </c>
      <c r="G1441" s="1">
        <v>0</v>
      </c>
      <c r="H1441" s="1">
        <v>0</v>
      </c>
      <c r="I1441" s="1">
        <v>0.02</v>
      </c>
      <c r="J1441" s="1">
        <v>5</v>
      </c>
      <c r="K1441" s="1">
        <v>0</v>
      </c>
    </row>
    <row r="1442" spans="1:11">
      <c r="A1442" s="1" t="s">
        <v>161</v>
      </c>
      <c r="B1442" s="1" t="s">
        <v>161</v>
      </c>
      <c r="C1442" s="1" t="s">
        <v>94</v>
      </c>
      <c r="D1442" s="1" t="str">
        <f>""</f>
        <v/>
      </c>
      <c r="E1442" s="1" t="s">
        <v>112</v>
      </c>
      <c r="F1442" s="5">
        <v>0</v>
      </c>
      <c r="G1442" s="5">
        <v>0</v>
      </c>
      <c r="H1442" s="5">
        <v>0.03</v>
      </c>
      <c r="I1442" s="5">
        <v>-0.03</v>
      </c>
      <c r="J1442" s="5">
        <v>4.97</v>
      </c>
      <c r="K1442" s="5">
        <v>0</v>
      </c>
    </row>
    <row r="1443" spans="1:11">
      <c r="A1443" s="1" t="str">
        <f>"20200528"</f>
        <v>20200528</v>
      </c>
      <c r="B1443" s="1" t="str">
        <f>"20200528"</f>
        <v>20200528</v>
      </c>
      <c r="C1443" s="1" t="str">
        <f>"证券买入"</f>
        <v>证券买入</v>
      </c>
      <c r="D1443" s="1" t="str">
        <f>"150197"</f>
        <v>150197</v>
      </c>
      <c r="E1443" s="1" t="str">
        <f>"有色B"</f>
        <v>有色B</v>
      </c>
      <c r="F1443" s="1">
        <v>0.438</v>
      </c>
      <c r="G1443" s="1">
        <v>6000</v>
      </c>
      <c r="H1443" s="1">
        <v>2628</v>
      </c>
      <c r="I1443" s="1">
        <v>-2633</v>
      </c>
      <c r="J1443" s="1">
        <v>34.91</v>
      </c>
      <c r="K1443" s="1">
        <v>6000</v>
      </c>
    </row>
    <row r="1444" spans="1:11">
      <c r="A1444" s="1" t="str">
        <f>"20200528"</f>
        <v>20200528</v>
      </c>
      <c r="B1444" s="1" t="str">
        <f>"20200528"</f>
        <v>20200528</v>
      </c>
      <c r="C1444" s="1" t="str">
        <f t="shared" si="885"/>
        <v>基金赎回拨入</v>
      </c>
      <c r="D1444" s="1" t="str">
        <f>"AA0007"</f>
        <v>AA0007</v>
      </c>
      <c r="E1444" s="1" t="str">
        <f>"银河水星1号集合"</f>
        <v>银河水星1号集合</v>
      </c>
      <c r="F1444" s="1">
        <v>0</v>
      </c>
      <c r="G1444" s="1">
        <v>2662</v>
      </c>
      <c r="H1444" s="1">
        <v>0</v>
      </c>
      <c r="I1444" s="1">
        <v>2662.94</v>
      </c>
      <c r="J1444" s="1">
        <v>2667.91</v>
      </c>
      <c r="K1444" s="1">
        <v>0</v>
      </c>
    </row>
    <row r="1445" spans="1:11">
      <c r="A1445" s="1" t="s">
        <v>162</v>
      </c>
      <c r="B1445" s="1" t="s">
        <v>162</v>
      </c>
      <c r="C1445" s="1" t="s">
        <v>94</v>
      </c>
      <c r="D1445" s="1" t="str">
        <f>""</f>
        <v/>
      </c>
      <c r="E1445" s="1" t="s">
        <v>112</v>
      </c>
      <c r="F1445" s="5">
        <v>0</v>
      </c>
      <c r="G1445" s="5">
        <v>0</v>
      </c>
      <c r="H1445" s="5">
        <v>0.03</v>
      </c>
      <c r="I1445" s="5">
        <v>-0.03</v>
      </c>
      <c r="J1445" s="5">
        <v>34.88</v>
      </c>
      <c r="K1445" s="5">
        <v>0</v>
      </c>
    </row>
    <row r="1446" spans="1:11">
      <c r="A1446" s="1" t="str">
        <f>"20200529"</f>
        <v>20200529</v>
      </c>
      <c r="B1446" s="1" t="str">
        <f>"20200529"</f>
        <v>20200529</v>
      </c>
      <c r="C1446" s="1" t="str">
        <f>"证券买入"</f>
        <v>证券买入</v>
      </c>
      <c r="D1446" s="1" t="str">
        <f>"150197"</f>
        <v>150197</v>
      </c>
      <c r="E1446" s="1" t="str">
        <f>"有色B"</f>
        <v>有色B</v>
      </c>
      <c r="F1446" s="1">
        <v>0.446</v>
      </c>
      <c r="G1446" s="1">
        <v>6700</v>
      </c>
      <c r="H1446" s="1">
        <v>2988.2</v>
      </c>
      <c r="I1446" s="1">
        <v>-2993.2</v>
      </c>
      <c r="J1446" s="1">
        <v>41.68</v>
      </c>
      <c r="K1446" s="1">
        <v>12700</v>
      </c>
    </row>
    <row r="1447" spans="1:11">
      <c r="A1447" s="1" t="str">
        <f>"20200529"</f>
        <v>20200529</v>
      </c>
      <c r="B1447" s="1" t="str">
        <f>"20200529"</f>
        <v>20200529</v>
      </c>
      <c r="C1447" s="1" t="str">
        <f>"银行转证券"</f>
        <v>银行转证券</v>
      </c>
      <c r="D1447" s="6"/>
      <c r="E1447" s="6"/>
      <c r="F1447" s="1">
        <v>0</v>
      </c>
      <c r="G1447" s="1">
        <v>0</v>
      </c>
      <c r="H1447" s="1">
        <v>0</v>
      </c>
      <c r="I1447" s="1">
        <v>3000</v>
      </c>
      <c r="J1447" s="1">
        <v>3034.88</v>
      </c>
      <c r="K1447" s="1">
        <v>0</v>
      </c>
    </row>
    <row r="1448" spans="1:11">
      <c r="A1448" s="1" t="s">
        <v>163</v>
      </c>
      <c r="B1448" s="1" t="s">
        <v>163</v>
      </c>
      <c r="C1448" s="1" t="s">
        <v>94</v>
      </c>
      <c r="D1448" s="1" t="str">
        <f>""</f>
        <v/>
      </c>
      <c r="E1448" s="1" t="s">
        <v>112</v>
      </c>
      <c r="F1448" s="5">
        <v>0</v>
      </c>
      <c r="G1448" s="5">
        <v>0</v>
      </c>
      <c r="H1448" s="5">
        <v>0.03</v>
      </c>
      <c r="I1448" s="5">
        <v>-0.03</v>
      </c>
      <c r="J1448" s="5">
        <v>41.65</v>
      </c>
      <c r="K1448" s="5">
        <v>0</v>
      </c>
    </row>
    <row r="1449" spans="1:11">
      <c r="A1449" s="1" t="str">
        <f>"20200601"</f>
        <v>20200601</v>
      </c>
      <c r="B1449" s="1" t="str">
        <f>"20200601"</f>
        <v>20200601</v>
      </c>
      <c r="C1449" s="1" t="str">
        <f>"证券卖出"</f>
        <v>证券卖出</v>
      </c>
      <c r="D1449" s="1" t="str">
        <f>"150197"</f>
        <v>150197</v>
      </c>
      <c r="E1449" s="1" t="str">
        <f>"有色B"</f>
        <v>有色B</v>
      </c>
      <c r="F1449" s="1">
        <v>0.475</v>
      </c>
      <c r="G1449" s="1">
        <v>12700</v>
      </c>
      <c r="H1449" s="1">
        <v>6032.5</v>
      </c>
      <c r="I1449" s="1">
        <v>6027.5</v>
      </c>
      <c r="J1449" s="1">
        <v>5</v>
      </c>
      <c r="K1449" s="1">
        <v>0</v>
      </c>
    </row>
    <row r="1450" spans="1:11">
      <c r="A1450" s="1" t="str">
        <f>"20200601"</f>
        <v>20200601</v>
      </c>
      <c r="B1450" s="1" t="str">
        <f>"20200601"</f>
        <v>20200601</v>
      </c>
      <c r="C1450" s="1" t="str">
        <f>"基金申购拨出"</f>
        <v>基金申购拨出</v>
      </c>
      <c r="D1450" s="1" t="str">
        <f t="shared" ref="D1450:D1454" si="886">"AA0007"</f>
        <v>AA0007</v>
      </c>
      <c r="E1450" s="1" t="str">
        <f t="shared" ref="E1450:E1454" si="887">"银河水星1号集合"</f>
        <v>银河水星1号集合</v>
      </c>
      <c r="F1450" s="1">
        <v>0</v>
      </c>
      <c r="G1450" s="1">
        <v>0</v>
      </c>
      <c r="H1450" s="1">
        <v>0</v>
      </c>
      <c r="I1450" s="1">
        <v>-6064.15</v>
      </c>
      <c r="J1450" s="1">
        <v>-6022.5</v>
      </c>
      <c r="K1450" s="1">
        <v>0</v>
      </c>
    </row>
    <row r="1451" spans="1:11">
      <c r="A1451" s="1" t="s">
        <v>164</v>
      </c>
      <c r="B1451" s="1" t="s">
        <v>164</v>
      </c>
      <c r="C1451" s="1" t="s">
        <v>94</v>
      </c>
      <c r="D1451" s="1" t="str">
        <f>""</f>
        <v/>
      </c>
      <c r="E1451" s="1" t="s">
        <v>112</v>
      </c>
      <c r="F1451" s="5">
        <v>0</v>
      </c>
      <c r="G1451" s="5">
        <v>0</v>
      </c>
      <c r="H1451" s="5">
        <v>0.08</v>
      </c>
      <c r="I1451" s="5">
        <v>-0.08</v>
      </c>
      <c r="J1451" s="5">
        <v>4.92</v>
      </c>
      <c r="K1451" s="5">
        <v>0</v>
      </c>
    </row>
    <row r="1452" spans="1:11">
      <c r="A1452" s="1" t="str">
        <f>"20200602"</f>
        <v>20200602</v>
      </c>
      <c r="B1452" s="1" t="str">
        <f>"20200602"</f>
        <v>20200602</v>
      </c>
      <c r="C1452" s="1" t="str">
        <f t="shared" ref="C1452:C1456" si="888">"基金赎回拨入"</f>
        <v>基金赎回拨入</v>
      </c>
      <c r="D1452" s="1" t="str">
        <f t="shared" si="886"/>
        <v>AA0007</v>
      </c>
      <c r="E1452" s="1" t="str">
        <f t="shared" si="887"/>
        <v>银河水星1号集合</v>
      </c>
      <c r="F1452" s="1">
        <v>0</v>
      </c>
      <c r="G1452" s="1">
        <v>0</v>
      </c>
      <c r="H1452" s="1">
        <v>0</v>
      </c>
      <c r="I1452" s="1">
        <v>0.08</v>
      </c>
      <c r="J1452" s="1">
        <v>5</v>
      </c>
      <c r="K1452" s="1">
        <v>0</v>
      </c>
    </row>
    <row r="1453" spans="1:11">
      <c r="A1453" s="1" t="s">
        <v>165</v>
      </c>
      <c r="B1453" s="1" t="s">
        <v>165</v>
      </c>
      <c r="C1453" s="1" t="s">
        <v>94</v>
      </c>
      <c r="D1453" s="1" t="str">
        <f>""</f>
        <v/>
      </c>
      <c r="E1453" s="1" t="s">
        <v>112</v>
      </c>
      <c r="F1453" s="5">
        <v>0</v>
      </c>
      <c r="G1453" s="5">
        <v>0</v>
      </c>
      <c r="H1453" s="5">
        <v>0.02</v>
      </c>
      <c r="I1453" s="5">
        <v>-0.02</v>
      </c>
      <c r="J1453" s="5">
        <v>4.98</v>
      </c>
      <c r="K1453" s="5">
        <v>0</v>
      </c>
    </row>
    <row r="1454" spans="1:11">
      <c r="A1454" s="1" t="str">
        <f>"20200603"</f>
        <v>20200603</v>
      </c>
      <c r="B1454" s="1" t="str">
        <f>"20200603"</f>
        <v>20200603</v>
      </c>
      <c r="C1454" s="1" t="str">
        <f t="shared" si="888"/>
        <v>基金赎回拨入</v>
      </c>
      <c r="D1454" s="1" t="str">
        <f t="shared" si="886"/>
        <v>AA0007</v>
      </c>
      <c r="E1454" s="1" t="str">
        <f t="shared" si="887"/>
        <v>银河水星1号集合</v>
      </c>
      <c r="F1454" s="1">
        <v>0</v>
      </c>
      <c r="G1454" s="1">
        <v>0</v>
      </c>
      <c r="H1454" s="1">
        <v>0</v>
      </c>
      <c r="I1454" s="1">
        <v>0.02</v>
      </c>
      <c r="J1454" s="1">
        <v>5</v>
      </c>
      <c r="K1454" s="1">
        <v>0</v>
      </c>
    </row>
    <row r="1455" spans="1:11">
      <c r="A1455" s="1" t="s">
        <v>166</v>
      </c>
      <c r="B1455" s="1" t="s">
        <v>166</v>
      </c>
      <c r="C1455" s="1" t="s">
        <v>94</v>
      </c>
      <c r="D1455" s="1" t="str">
        <f>""</f>
        <v/>
      </c>
      <c r="E1455" s="1" t="s">
        <v>112</v>
      </c>
      <c r="F1455" s="5">
        <v>0</v>
      </c>
      <c r="G1455" s="5">
        <v>0</v>
      </c>
      <c r="H1455" s="5">
        <v>0.02</v>
      </c>
      <c r="I1455" s="5">
        <v>-0.02</v>
      </c>
      <c r="J1455" s="5">
        <v>4.98</v>
      </c>
      <c r="K1455" s="5">
        <v>0</v>
      </c>
    </row>
    <row r="1456" spans="1:11">
      <c r="A1456" s="1" t="str">
        <f>"20200604"</f>
        <v>20200604</v>
      </c>
      <c r="B1456" s="1" t="str">
        <f>"20200604"</f>
        <v>20200604</v>
      </c>
      <c r="C1456" s="1" t="str">
        <f t="shared" si="888"/>
        <v>基金赎回拨入</v>
      </c>
      <c r="D1456" s="1" t="str">
        <f t="shared" ref="D1456:D1460" si="889">"AA0007"</f>
        <v>AA0007</v>
      </c>
      <c r="E1456" s="1" t="str">
        <f t="shared" ref="E1456:E1460" si="890">"银河水星1号集合"</f>
        <v>银河水星1号集合</v>
      </c>
      <c r="F1456" s="1">
        <v>0</v>
      </c>
      <c r="G1456" s="1">
        <v>0</v>
      </c>
      <c r="H1456" s="1">
        <v>0</v>
      </c>
      <c r="I1456" s="1">
        <v>0.02</v>
      </c>
      <c r="J1456" s="1">
        <v>5</v>
      </c>
      <c r="K1456" s="1">
        <v>0</v>
      </c>
    </row>
    <row r="1457" spans="1:11">
      <c r="A1457" s="1" t="s">
        <v>167</v>
      </c>
      <c r="B1457" s="1" t="s">
        <v>167</v>
      </c>
      <c r="C1457" s="1" t="s">
        <v>94</v>
      </c>
      <c r="D1457" s="1" t="str">
        <f>""</f>
        <v/>
      </c>
      <c r="E1457" s="1" t="s">
        <v>112</v>
      </c>
      <c r="F1457" s="5">
        <v>0</v>
      </c>
      <c r="G1457" s="5">
        <v>0</v>
      </c>
      <c r="H1457" s="5">
        <v>0.03</v>
      </c>
      <c r="I1457" s="5">
        <v>-0.03</v>
      </c>
      <c r="J1457" s="5">
        <v>4.97</v>
      </c>
      <c r="K1457" s="5">
        <v>0</v>
      </c>
    </row>
    <row r="1458" spans="1:11">
      <c r="A1458" s="1" t="str">
        <f>"20200605"</f>
        <v>20200605</v>
      </c>
      <c r="B1458" s="1" t="str">
        <f>"20200605"</f>
        <v>20200605</v>
      </c>
      <c r="C1458" s="1" t="str">
        <f t="shared" ref="C1458:C1463" si="891">"基金赎回拨入"</f>
        <v>基金赎回拨入</v>
      </c>
      <c r="D1458" s="1" t="str">
        <f t="shared" si="889"/>
        <v>AA0007</v>
      </c>
      <c r="E1458" s="1" t="str">
        <f t="shared" si="890"/>
        <v>银河水星1号集合</v>
      </c>
      <c r="F1458" s="1">
        <v>0</v>
      </c>
      <c r="G1458" s="1">
        <v>0</v>
      </c>
      <c r="H1458" s="1">
        <v>0</v>
      </c>
      <c r="I1458" s="1">
        <v>0.03</v>
      </c>
      <c r="J1458" s="1">
        <v>5</v>
      </c>
      <c r="K1458" s="1">
        <v>0</v>
      </c>
    </row>
    <row r="1459" spans="1:11">
      <c r="A1459" s="1" t="s">
        <v>168</v>
      </c>
      <c r="B1459" s="1" t="s">
        <v>168</v>
      </c>
      <c r="C1459" s="1" t="s">
        <v>94</v>
      </c>
      <c r="D1459" s="1" t="str">
        <f>""</f>
        <v/>
      </c>
      <c r="E1459" s="1" t="s">
        <v>112</v>
      </c>
      <c r="F1459" s="5">
        <v>0</v>
      </c>
      <c r="G1459" s="5">
        <v>0</v>
      </c>
      <c r="H1459" s="5">
        <v>0.03</v>
      </c>
      <c r="I1459" s="5">
        <v>-0.03</v>
      </c>
      <c r="J1459" s="5">
        <v>4.97</v>
      </c>
      <c r="K1459" s="5">
        <v>0</v>
      </c>
    </row>
    <row r="1460" spans="1:11">
      <c r="A1460" s="1" t="str">
        <f>"20200608"</f>
        <v>20200608</v>
      </c>
      <c r="B1460" s="1" t="str">
        <f>"20200608"</f>
        <v>20200608</v>
      </c>
      <c r="C1460" s="1" t="str">
        <f t="shared" si="891"/>
        <v>基金赎回拨入</v>
      </c>
      <c r="D1460" s="1" t="str">
        <f t="shared" si="889"/>
        <v>AA0007</v>
      </c>
      <c r="E1460" s="1" t="str">
        <f t="shared" si="890"/>
        <v>银河水星1号集合</v>
      </c>
      <c r="F1460" s="1">
        <v>0</v>
      </c>
      <c r="G1460" s="1">
        <v>0</v>
      </c>
      <c r="H1460" s="1">
        <v>0</v>
      </c>
      <c r="I1460" s="1">
        <v>0.03</v>
      </c>
      <c r="J1460" s="1">
        <v>5</v>
      </c>
      <c r="K1460" s="1">
        <v>0</v>
      </c>
    </row>
    <row r="1461" spans="1:11">
      <c r="A1461" s="1" t="s">
        <v>169</v>
      </c>
      <c r="B1461" s="1" t="s">
        <v>169</v>
      </c>
      <c r="C1461" s="1" t="s">
        <v>94</v>
      </c>
      <c r="D1461" s="1" t="str">
        <f>""</f>
        <v/>
      </c>
      <c r="E1461" s="1" t="s">
        <v>112</v>
      </c>
      <c r="F1461" s="5">
        <v>0</v>
      </c>
      <c r="G1461" s="5">
        <v>0</v>
      </c>
      <c r="H1461" s="5">
        <v>0.08</v>
      </c>
      <c r="I1461" s="5">
        <v>-0.08</v>
      </c>
      <c r="J1461" s="5">
        <v>4.92</v>
      </c>
      <c r="K1461" s="5">
        <v>0</v>
      </c>
    </row>
    <row r="1462" spans="1:11">
      <c r="A1462" s="1" t="str">
        <f>"20200609"</f>
        <v>20200609</v>
      </c>
      <c r="B1462" s="1" t="str">
        <f>"20200609"</f>
        <v>20200609</v>
      </c>
      <c r="C1462" s="1" t="str">
        <f>"证券买入"</f>
        <v>证券买入</v>
      </c>
      <c r="D1462" s="1" t="str">
        <f>"502012"</f>
        <v>502012</v>
      </c>
      <c r="E1462" s="1" t="str">
        <f>"证券B"</f>
        <v>证券B</v>
      </c>
      <c r="F1462" s="1">
        <v>1.059</v>
      </c>
      <c r="G1462" s="1">
        <v>5700</v>
      </c>
      <c r="H1462" s="1">
        <v>6036.3</v>
      </c>
      <c r="I1462" s="1">
        <v>-6041.3</v>
      </c>
      <c r="J1462" s="1">
        <v>27.59</v>
      </c>
      <c r="K1462" s="1">
        <v>5700</v>
      </c>
    </row>
    <row r="1463" spans="1:11">
      <c r="A1463" s="1" t="str">
        <f>"20200609"</f>
        <v>20200609</v>
      </c>
      <c r="B1463" s="1" t="str">
        <f>"20200609"</f>
        <v>20200609</v>
      </c>
      <c r="C1463" s="1" t="str">
        <f t="shared" si="891"/>
        <v>基金赎回拨入</v>
      </c>
      <c r="D1463" s="1" t="str">
        <f>"AA0007"</f>
        <v>AA0007</v>
      </c>
      <c r="E1463" s="1" t="str">
        <f>"银河水星1号集合"</f>
        <v>银河水星1号集合</v>
      </c>
      <c r="F1463" s="1">
        <v>0</v>
      </c>
      <c r="G1463" s="1">
        <v>6063</v>
      </c>
      <c r="H1463" s="1">
        <v>0</v>
      </c>
      <c r="I1463" s="1">
        <v>6063.97</v>
      </c>
      <c r="J1463" s="1">
        <v>6068.89</v>
      </c>
      <c r="K1463" s="1">
        <v>0</v>
      </c>
    </row>
    <row r="1464" spans="1:11">
      <c r="A1464" s="1" t="s">
        <v>170</v>
      </c>
      <c r="B1464" s="1" t="s">
        <v>170</v>
      </c>
      <c r="C1464" s="1" t="s">
        <v>94</v>
      </c>
      <c r="D1464" s="1" t="str">
        <f>""</f>
        <v/>
      </c>
      <c r="E1464" s="1" t="s">
        <v>112</v>
      </c>
      <c r="F1464" s="5">
        <v>0</v>
      </c>
      <c r="G1464" s="5">
        <v>0</v>
      </c>
      <c r="H1464" s="5">
        <v>0.03</v>
      </c>
      <c r="I1464" s="5">
        <v>-0.03</v>
      </c>
      <c r="J1464" s="5">
        <v>27.56</v>
      </c>
      <c r="K1464" s="5">
        <v>0</v>
      </c>
    </row>
    <row r="1465" spans="1:11">
      <c r="A1465" s="1" t="s">
        <v>171</v>
      </c>
      <c r="B1465" s="1" t="s">
        <v>171</v>
      </c>
      <c r="C1465" s="1" t="s">
        <v>94</v>
      </c>
      <c r="D1465" s="1" t="str">
        <f>""</f>
        <v/>
      </c>
      <c r="E1465" s="1" t="s">
        <v>112</v>
      </c>
      <c r="F1465" s="5">
        <v>0</v>
      </c>
      <c r="G1465" s="5">
        <v>0</v>
      </c>
      <c r="H1465" s="5">
        <v>0.03</v>
      </c>
      <c r="I1465" s="5">
        <v>-0.03</v>
      </c>
      <c r="J1465" s="5">
        <v>27.53</v>
      </c>
      <c r="K1465" s="5">
        <v>0</v>
      </c>
    </row>
    <row r="1466" spans="1:11">
      <c r="A1466" s="1" t="s">
        <v>172</v>
      </c>
      <c r="B1466" s="1" t="s">
        <v>172</v>
      </c>
      <c r="C1466" s="1" t="s">
        <v>94</v>
      </c>
      <c r="D1466" s="1" t="str">
        <f>""</f>
        <v/>
      </c>
      <c r="E1466" s="1" t="s">
        <v>112</v>
      </c>
      <c r="F1466" s="5">
        <v>0</v>
      </c>
      <c r="G1466" s="5">
        <v>0</v>
      </c>
      <c r="H1466" s="5">
        <v>0.03</v>
      </c>
      <c r="I1466" s="5">
        <v>-0.03</v>
      </c>
      <c r="J1466" s="5">
        <v>27.5</v>
      </c>
      <c r="K1466" s="5">
        <v>0</v>
      </c>
    </row>
    <row r="1467" spans="1:11">
      <c r="A1467" s="1" t="str">
        <f>"20200612"</f>
        <v>20200612</v>
      </c>
      <c r="B1467" s="1" t="str">
        <f>"20200612"</f>
        <v>20200612</v>
      </c>
      <c r="C1467" s="1" t="str">
        <f>"银行转证券"</f>
        <v>银行转证券</v>
      </c>
      <c r="D1467" s="6"/>
      <c r="E1467" s="6"/>
      <c r="F1467" s="1">
        <v>0</v>
      </c>
      <c r="G1467" s="1">
        <v>0</v>
      </c>
      <c r="H1467" s="1">
        <v>0</v>
      </c>
      <c r="I1467" s="1">
        <v>19000</v>
      </c>
      <c r="J1467" s="1">
        <v>19027.5</v>
      </c>
      <c r="K1467" s="1">
        <v>0</v>
      </c>
    </row>
    <row r="1468" spans="1:11">
      <c r="A1468" s="1" t="str">
        <f>"20200612"</f>
        <v>20200612</v>
      </c>
      <c r="B1468" s="1" t="str">
        <f>"20200612"</f>
        <v>20200612</v>
      </c>
      <c r="C1468" s="1" t="str">
        <f>"银行转证券"</f>
        <v>银行转证券</v>
      </c>
      <c r="D1468" s="6"/>
      <c r="E1468" s="6"/>
      <c r="F1468" s="1">
        <v>0</v>
      </c>
      <c r="G1468" s="1">
        <v>0</v>
      </c>
      <c r="H1468" s="1">
        <v>0</v>
      </c>
      <c r="I1468" s="1">
        <v>1000</v>
      </c>
      <c r="J1468" s="1">
        <v>20027.5</v>
      </c>
      <c r="K1468" s="1">
        <v>0</v>
      </c>
    </row>
    <row r="1469" spans="1:11">
      <c r="A1469" s="1" t="s">
        <v>173</v>
      </c>
      <c r="B1469" s="1" t="s">
        <v>173</v>
      </c>
      <c r="C1469" s="1" t="s">
        <v>94</v>
      </c>
      <c r="D1469" s="1" t="str">
        <f>""</f>
        <v/>
      </c>
      <c r="E1469" s="1" t="s">
        <v>112</v>
      </c>
      <c r="F1469" s="5">
        <v>0</v>
      </c>
      <c r="G1469" s="5">
        <v>0</v>
      </c>
      <c r="H1469" s="5">
        <v>0.03</v>
      </c>
      <c r="I1469" s="5">
        <v>-0.03</v>
      </c>
      <c r="J1469" s="5">
        <v>20027.47</v>
      </c>
      <c r="K1469" s="5">
        <v>0</v>
      </c>
    </row>
    <row r="1470" spans="1:11">
      <c r="A1470" s="1" t="str">
        <f>"20200615"</f>
        <v>20200615</v>
      </c>
      <c r="B1470" s="1" t="str">
        <f>"20200615"</f>
        <v>20200615</v>
      </c>
      <c r="C1470" s="1" t="str">
        <f>"基金申购拨出"</f>
        <v>基金申购拨出</v>
      </c>
      <c r="D1470" s="1" t="str">
        <f t="shared" ref="D1470:D1475" si="892">"AA0007"</f>
        <v>AA0007</v>
      </c>
      <c r="E1470" s="1" t="str">
        <f t="shared" ref="E1470:E1475" si="893">"银河水星1号集合"</f>
        <v>银河水星1号集合</v>
      </c>
      <c r="F1470" s="1">
        <v>0</v>
      </c>
      <c r="G1470" s="1">
        <v>0</v>
      </c>
      <c r="H1470" s="1">
        <v>0</v>
      </c>
      <c r="I1470" s="1">
        <v>-1346.33</v>
      </c>
      <c r="J1470" s="1">
        <v>18681.14</v>
      </c>
      <c r="K1470" s="1">
        <v>0</v>
      </c>
    </row>
    <row r="1471" spans="1:11">
      <c r="A1471" s="1" t="s">
        <v>174</v>
      </c>
      <c r="B1471" s="1" t="s">
        <v>174</v>
      </c>
      <c r="C1471" s="1" t="s">
        <v>94</v>
      </c>
      <c r="D1471" s="1" t="str">
        <f>""</f>
        <v/>
      </c>
      <c r="E1471" s="1" t="s">
        <v>112</v>
      </c>
      <c r="F1471" s="5">
        <v>0</v>
      </c>
      <c r="G1471" s="5">
        <v>0</v>
      </c>
      <c r="H1471" s="5">
        <v>0.05</v>
      </c>
      <c r="I1471" s="5">
        <v>-0.05</v>
      </c>
      <c r="J1471" s="5">
        <v>18681.09</v>
      </c>
      <c r="K1471" s="5">
        <v>0</v>
      </c>
    </row>
    <row r="1472" spans="1:11">
      <c r="A1472" s="1" t="str">
        <f>"20200616"</f>
        <v>20200616</v>
      </c>
      <c r="B1472" s="1" t="str">
        <f>"20200616"</f>
        <v>20200616</v>
      </c>
      <c r="C1472" s="1" t="str">
        <f>"基金赎回拨入"</f>
        <v>基金赎回拨入</v>
      </c>
      <c r="D1472" s="1" t="str">
        <f t="shared" si="892"/>
        <v>AA0007</v>
      </c>
      <c r="E1472" s="1" t="str">
        <f t="shared" si="893"/>
        <v>银河水星1号集合</v>
      </c>
      <c r="F1472" s="1">
        <v>0</v>
      </c>
      <c r="G1472" s="1">
        <v>0</v>
      </c>
      <c r="H1472" s="1">
        <v>0</v>
      </c>
      <c r="I1472" s="1">
        <v>0.05</v>
      </c>
      <c r="J1472" s="1">
        <v>18681.14</v>
      </c>
      <c r="K1472" s="1">
        <v>0</v>
      </c>
    </row>
    <row r="1473" spans="1:11">
      <c r="A1473" s="1" t="s">
        <v>175</v>
      </c>
      <c r="B1473" s="1" t="s">
        <v>173</v>
      </c>
      <c r="C1473" s="1" t="s">
        <v>109</v>
      </c>
      <c r="D1473" s="1" t="str">
        <f>"00386"</f>
        <v>00386</v>
      </c>
      <c r="E1473" s="1" t="s">
        <v>110</v>
      </c>
      <c r="F1473" s="5">
        <v>3.11</v>
      </c>
      <c r="G1473" s="5">
        <v>6000</v>
      </c>
      <c r="H1473" s="5">
        <v>18643.97</v>
      </c>
      <c r="I1473" s="5">
        <v>-18676.14</v>
      </c>
      <c r="J1473" s="5">
        <v>5</v>
      </c>
      <c r="K1473" s="5">
        <v>32000</v>
      </c>
    </row>
    <row r="1474" spans="1:11">
      <c r="A1474" s="1" t="s">
        <v>175</v>
      </c>
      <c r="B1474" s="1" t="s">
        <v>175</v>
      </c>
      <c r="C1474" s="1" t="s">
        <v>94</v>
      </c>
      <c r="D1474" s="1" t="str">
        <f>""</f>
        <v/>
      </c>
      <c r="E1474" s="1" t="s">
        <v>112</v>
      </c>
      <c r="F1474" s="5">
        <v>0</v>
      </c>
      <c r="G1474" s="5">
        <v>0</v>
      </c>
      <c r="H1474" s="5">
        <v>0.02</v>
      </c>
      <c r="I1474" s="5">
        <v>-0.02</v>
      </c>
      <c r="J1474" s="5">
        <v>4.98</v>
      </c>
      <c r="K1474" s="5">
        <v>0</v>
      </c>
    </row>
    <row r="1475" spans="1:11">
      <c r="A1475" s="1" t="str">
        <f>"20200617"</f>
        <v>20200617</v>
      </c>
      <c r="B1475" s="1" t="str">
        <f>"20200617"</f>
        <v>20200617</v>
      </c>
      <c r="C1475" s="1" t="str">
        <f>"基金赎回拨入"</f>
        <v>基金赎回拨入</v>
      </c>
      <c r="D1475" s="1" t="str">
        <f t="shared" si="892"/>
        <v>AA0007</v>
      </c>
      <c r="E1475" s="1" t="str">
        <f t="shared" si="893"/>
        <v>银河水星1号集合</v>
      </c>
      <c r="F1475" s="1">
        <v>0</v>
      </c>
      <c r="G1475" s="1">
        <v>0</v>
      </c>
      <c r="H1475" s="1">
        <v>0</v>
      </c>
      <c r="I1475" s="1">
        <v>0.02</v>
      </c>
      <c r="J1475" s="1">
        <v>5</v>
      </c>
      <c r="K1475" s="1">
        <v>0</v>
      </c>
    </row>
    <row r="1476" spans="1:11">
      <c r="A1476" s="1" t="s">
        <v>176</v>
      </c>
      <c r="B1476" s="1" t="s">
        <v>176</v>
      </c>
      <c r="C1476" s="1" t="s">
        <v>94</v>
      </c>
      <c r="D1476" s="1" t="str">
        <f>""</f>
        <v/>
      </c>
      <c r="E1476" s="1" t="s">
        <v>112</v>
      </c>
      <c r="F1476" s="5">
        <v>0</v>
      </c>
      <c r="G1476" s="5">
        <v>0</v>
      </c>
      <c r="H1476" s="5">
        <v>0.03</v>
      </c>
      <c r="I1476" s="5">
        <v>-0.03</v>
      </c>
      <c r="J1476" s="5">
        <v>4.97</v>
      </c>
      <c r="K1476" s="5">
        <v>0</v>
      </c>
    </row>
    <row r="1477" spans="1:11">
      <c r="A1477" s="1" t="str">
        <f t="shared" ref="A1477:A1479" si="894">"20200618"</f>
        <v>20200618</v>
      </c>
      <c r="B1477" s="1" t="str">
        <f t="shared" ref="B1477:B1479" si="895">"20200618"</f>
        <v>20200618</v>
      </c>
      <c r="C1477" s="1" t="str">
        <f>"证券卖出"</f>
        <v>证券卖出</v>
      </c>
      <c r="D1477" s="1" t="str">
        <f>"150153"</f>
        <v>150153</v>
      </c>
      <c r="E1477" s="1" t="str">
        <f>"创业板B"</f>
        <v>创业板B</v>
      </c>
      <c r="F1477" s="1">
        <v>1.831</v>
      </c>
      <c r="G1477" s="1">
        <v>4271</v>
      </c>
      <c r="H1477" s="1">
        <v>7820.2</v>
      </c>
      <c r="I1477" s="1">
        <v>7815.2</v>
      </c>
      <c r="J1477" s="1">
        <v>5</v>
      </c>
      <c r="K1477" s="1">
        <v>0</v>
      </c>
    </row>
    <row r="1478" spans="1:11">
      <c r="A1478" s="1" t="str">
        <f t="shared" si="894"/>
        <v>20200618</v>
      </c>
      <c r="B1478" s="1" t="str">
        <f t="shared" si="895"/>
        <v>20200618</v>
      </c>
      <c r="C1478" s="1" t="str">
        <f>"基金申购拨出"</f>
        <v>基金申购拨出</v>
      </c>
      <c r="D1478" s="1" t="str">
        <f>"AA0007"</f>
        <v>AA0007</v>
      </c>
      <c r="E1478" s="1" t="str">
        <f>"银河水星1号集合"</f>
        <v>银河水星1号集合</v>
      </c>
      <c r="F1478" s="1">
        <v>0</v>
      </c>
      <c r="G1478" s="1">
        <v>0</v>
      </c>
      <c r="H1478" s="1">
        <v>0</v>
      </c>
      <c r="I1478" s="1">
        <v>-9615.17</v>
      </c>
      <c r="J1478" s="1">
        <v>-7810.2</v>
      </c>
      <c r="K1478" s="1">
        <v>0</v>
      </c>
    </row>
    <row r="1479" spans="1:11">
      <c r="A1479" s="1" t="str">
        <f t="shared" si="894"/>
        <v>20200618</v>
      </c>
      <c r="B1479" s="1" t="str">
        <f t="shared" si="895"/>
        <v>20200618</v>
      </c>
      <c r="C1479" s="1" t="str">
        <f>"银行转证券"</f>
        <v>银行转证券</v>
      </c>
      <c r="D1479" s="6"/>
      <c r="E1479" s="6"/>
      <c r="F1479" s="1">
        <v>0</v>
      </c>
      <c r="G1479" s="1">
        <v>0</v>
      </c>
      <c r="H1479" s="1">
        <v>0</v>
      </c>
      <c r="I1479" s="1">
        <v>1800</v>
      </c>
      <c r="J1479" s="1">
        <v>1804.97</v>
      </c>
      <c r="K1479" s="1">
        <v>0</v>
      </c>
    </row>
    <row r="1480" spans="1:11">
      <c r="A1480" s="1" t="s">
        <v>177</v>
      </c>
      <c r="B1480" s="1" t="s">
        <v>177</v>
      </c>
      <c r="C1480" s="1" t="s">
        <v>94</v>
      </c>
      <c r="D1480" s="1" t="str">
        <f>""</f>
        <v/>
      </c>
      <c r="E1480" s="1" t="s">
        <v>112</v>
      </c>
      <c r="F1480" s="5">
        <v>0</v>
      </c>
      <c r="G1480" s="5">
        <v>0</v>
      </c>
      <c r="H1480" s="5">
        <v>0.03</v>
      </c>
      <c r="I1480" s="5">
        <v>-0.03</v>
      </c>
      <c r="J1480" s="5">
        <v>4.97</v>
      </c>
      <c r="K1480" s="5">
        <v>0</v>
      </c>
    </row>
    <row r="1481" spans="1:11">
      <c r="A1481" s="1" t="str">
        <f t="shared" ref="A1481:A1483" si="896">"20200619"</f>
        <v>20200619</v>
      </c>
      <c r="B1481" s="1" t="str">
        <f t="shared" ref="B1481:B1483" si="897">"20200619"</f>
        <v>20200619</v>
      </c>
      <c r="C1481" s="1" t="str">
        <f>"证券买入"</f>
        <v>证券买入</v>
      </c>
      <c r="D1481" s="1" t="str">
        <f>"150182"</f>
        <v>150182</v>
      </c>
      <c r="E1481" s="1" t="str">
        <f>"军工B"</f>
        <v>军工B</v>
      </c>
      <c r="F1481" s="1">
        <v>1.364</v>
      </c>
      <c r="G1481" s="1">
        <v>4000</v>
      </c>
      <c r="H1481" s="1">
        <v>5456</v>
      </c>
      <c r="I1481" s="1">
        <v>-5461</v>
      </c>
      <c r="J1481" s="1">
        <v>7.09</v>
      </c>
      <c r="K1481" s="1">
        <v>7246</v>
      </c>
    </row>
    <row r="1482" spans="1:11">
      <c r="A1482" s="1" t="str">
        <f t="shared" si="896"/>
        <v>20200619</v>
      </c>
      <c r="B1482" s="1" t="str">
        <f t="shared" si="897"/>
        <v>20200619</v>
      </c>
      <c r="C1482" s="1" t="str">
        <f>"基金赎回拨入"</f>
        <v>基金赎回拨入</v>
      </c>
      <c r="D1482" s="1" t="str">
        <f>"AA0007"</f>
        <v>AA0007</v>
      </c>
      <c r="E1482" s="1" t="str">
        <f>"银河水星1号集合"</f>
        <v>银河水星1号集合</v>
      </c>
      <c r="F1482" s="1">
        <v>0</v>
      </c>
      <c r="G1482" s="1">
        <v>5461</v>
      </c>
      <c r="H1482" s="1">
        <v>0</v>
      </c>
      <c r="I1482" s="1">
        <v>5461.03</v>
      </c>
      <c r="J1482" s="1">
        <v>5468.09</v>
      </c>
      <c r="K1482" s="1">
        <v>0</v>
      </c>
    </row>
    <row r="1483" spans="1:11">
      <c r="A1483" s="1" t="str">
        <f t="shared" si="896"/>
        <v>20200619</v>
      </c>
      <c r="B1483" s="1" t="str">
        <f t="shared" si="897"/>
        <v>20200619</v>
      </c>
      <c r="C1483" s="1" t="str">
        <f>"利息归本"</f>
        <v>利息归本</v>
      </c>
      <c r="D1483" s="6"/>
      <c r="E1483" s="6"/>
      <c r="F1483" s="1">
        <v>0</v>
      </c>
      <c r="G1483" s="1">
        <v>0</v>
      </c>
      <c r="H1483" s="1">
        <v>0</v>
      </c>
      <c r="I1483" s="1">
        <v>2.09</v>
      </c>
      <c r="J1483" s="1">
        <v>7.06</v>
      </c>
      <c r="K1483" s="1">
        <v>0</v>
      </c>
    </row>
    <row r="1484" spans="1:11">
      <c r="A1484" s="1" t="s">
        <v>178</v>
      </c>
      <c r="B1484" s="1" t="s">
        <v>178</v>
      </c>
      <c r="C1484" s="1" t="s">
        <v>94</v>
      </c>
      <c r="D1484" s="1" t="str">
        <f>""</f>
        <v/>
      </c>
      <c r="E1484" s="1" t="s">
        <v>112</v>
      </c>
      <c r="F1484" s="5">
        <v>0</v>
      </c>
      <c r="G1484" s="5">
        <v>0</v>
      </c>
      <c r="H1484" s="5">
        <v>0.03</v>
      </c>
      <c r="I1484" s="5">
        <v>-0.03</v>
      </c>
      <c r="J1484" s="5">
        <v>7.06</v>
      </c>
      <c r="K1484" s="5">
        <v>0</v>
      </c>
    </row>
    <row r="1485" spans="1:11">
      <c r="A1485" s="1" t="str">
        <f t="shared" ref="A1485:A1487" si="898">"20200622"</f>
        <v>20200622</v>
      </c>
      <c r="B1485" s="1" t="str">
        <f t="shared" ref="B1485:B1487" si="899">"20200622"</f>
        <v>20200622</v>
      </c>
      <c r="C1485" s="1" t="str">
        <f>"证券卖出"</f>
        <v>证券卖出</v>
      </c>
      <c r="D1485" s="1" t="str">
        <f>"150182"</f>
        <v>150182</v>
      </c>
      <c r="E1485" s="1" t="str">
        <f>"军工B"</f>
        <v>军工B</v>
      </c>
      <c r="F1485" s="1">
        <v>1.391</v>
      </c>
      <c r="G1485" s="1">
        <v>4000</v>
      </c>
      <c r="H1485" s="1">
        <v>5564</v>
      </c>
      <c r="I1485" s="1">
        <v>5559</v>
      </c>
      <c r="J1485" s="1">
        <v>5</v>
      </c>
      <c r="K1485" s="1">
        <v>3246</v>
      </c>
    </row>
    <row r="1486" spans="1:11">
      <c r="A1486" s="1" t="str">
        <f t="shared" si="898"/>
        <v>20200622</v>
      </c>
      <c r="B1486" s="1" t="str">
        <f t="shared" si="899"/>
        <v>20200622</v>
      </c>
      <c r="C1486" s="1" t="str">
        <f>"证券卖出"</f>
        <v>证券卖出</v>
      </c>
      <c r="D1486" s="1" t="str">
        <f>"502012"</f>
        <v>502012</v>
      </c>
      <c r="E1486" s="1" t="str">
        <f>"证券B"</f>
        <v>证券B</v>
      </c>
      <c r="F1486" s="1">
        <v>1.18</v>
      </c>
      <c r="G1486" s="1">
        <v>5700</v>
      </c>
      <c r="H1486" s="1">
        <v>6726</v>
      </c>
      <c r="I1486" s="1">
        <v>6721</v>
      </c>
      <c r="J1486" s="1">
        <v>-5554</v>
      </c>
      <c r="K1486" s="1">
        <v>0</v>
      </c>
    </row>
    <row r="1487" spans="1:11">
      <c r="A1487" s="1" t="str">
        <f t="shared" si="898"/>
        <v>20200622</v>
      </c>
      <c r="B1487" s="1" t="str">
        <f t="shared" si="899"/>
        <v>20200622</v>
      </c>
      <c r="C1487" s="1" t="str">
        <f>"基金申购拨出"</f>
        <v>基金申购拨出</v>
      </c>
      <c r="D1487" s="1" t="str">
        <f t="shared" ref="D1487:D1490" si="900">"AA0007"</f>
        <v>AA0007</v>
      </c>
      <c r="E1487" s="1" t="str">
        <f t="shared" ref="E1487:E1490" si="901">"银河水星1号集合"</f>
        <v>银河水星1号集合</v>
      </c>
      <c r="F1487" s="1">
        <v>0</v>
      </c>
      <c r="G1487" s="1">
        <v>0</v>
      </c>
      <c r="H1487" s="1">
        <v>0</v>
      </c>
      <c r="I1487" s="1">
        <v>-12282.06</v>
      </c>
      <c r="J1487" s="1">
        <v>-12275</v>
      </c>
      <c r="K1487" s="1">
        <v>0</v>
      </c>
    </row>
    <row r="1488" spans="1:11">
      <c r="A1488" s="1" t="s">
        <v>179</v>
      </c>
      <c r="B1488" s="1" t="s">
        <v>179</v>
      </c>
      <c r="C1488" s="1" t="s">
        <v>94</v>
      </c>
      <c r="D1488" s="1" t="str">
        <f>""</f>
        <v/>
      </c>
      <c r="E1488" s="1" t="s">
        <v>112</v>
      </c>
      <c r="F1488" s="5">
        <v>0</v>
      </c>
      <c r="G1488" s="5">
        <v>0</v>
      </c>
      <c r="H1488" s="5">
        <v>0.08</v>
      </c>
      <c r="I1488" s="5">
        <v>-0.08</v>
      </c>
      <c r="J1488" s="5">
        <v>4.92</v>
      </c>
      <c r="K1488" s="5">
        <v>0</v>
      </c>
    </row>
    <row r="1489" spans="1:11">
      <c r="A1489" s="1" t="str">
        <f>"20200623"</f>
        <v>20200623</v>
      </c>
      <c r="B1489" s="1" t="str">
        <f>"20200623"</f>
        <v>20200623</v>
      </c>
      <c r="C1489" s="1" t="str">
        <f>"基金赎回拨入"</f>
        <v>基金赎回拨入</v>
      </c>
      <c r="D1489" s="1" t="str">
        <f t="shared" si="900"/>
        <v>AA0007</v>
      </c>
      <c r="E1489" s="1" t="str">
        <f t="shared" si="901"/>
        <v>银河水星1号集合</v>
      </c>
      <c r="F1489" s="1">
        <v>0</v>
      </c>
      <c r="G1489" s="1">
        <v>0</v>
      </c>
      <c r="H1489" s="1">
        <v>0</v>
      </c>
      <c r="I1489" s="1">
        <v>0.08</v>
      </c>
      <c r="J1489" s="1">
        <v>5</v>
      </c>
      <c r="K1489" s="1">
        <v>0</v>
      </c>
    </row>
    <row r="1490" spans="1:11">
      <c r="A1490" s="1" t="str">
        <f>"20200623"</f>
        <v>20200623</v>
      </c>
      <c r="B1490" s="1" t="str">
        <f>"0"</f>
        <v>0</v>
      </c>
      <c r="C1490" s="1" t="str">
        <f>"基金红利拨入"</f>
        <v>基金红利拨入</v>
      </c>
      <c r="D1490" s="1" t="str">
        <f t="shared" si="900"/>
        <v>AA0007</v>
      </c>
      <c r="E1490" s="1" t="str">
        <f t="shared" si="901"/>
        <v>银河水星1号集合</v>
      </c>
      <c r="F1490" s="1">
        <v>0</v>
      </c>
      <c r="G1490" s="1">
        <v>0</v>
      </c>
      <c r="H1490" s="1">
        <v>4.13</v>
      </c>
      <c r="I1490" s="1">
        <v>4.13</v>
      </c>
      <c r="J1490" s="1">
        <v>9.13</v>
      </c>
      <c r="K1490" s="1">
        <v>0</v>
      </c>
    </row>
    <row r="1491" spans="1:11">
      <c r="A1491" s="1" t="s">
        <v>180</v>
      </c>
      <c r="B1491" s="1" t="s">
        <v>180</v>
      </c>
      <c r="C1491" s="1" t="s">
        <v>181</v>
      </c>
      <c r="D1491" s="1" t="str">
        <f>"00386"</f>
        <v>00386</v>
      </c>
      <c r="E1491" s="1" t="s">
        <v>110</v>
      </c>
      <c r="F1491" s="5">
        <v>0.15</v>
      </c>
      <c r="G1491" s="5">
        <v>26000</v>
      </c>
      <c r="H1491" s="5">
        <v>3952</v>
      </c>
      <c r="I1491" s="5">
        <v>3952</v>
      </c>
      <c r="J1491" s="5">
        <v>3961.13</v>
      </c>
      <c r="K1491" s="5">
        <v>32000</v>
      </c>
    </row>
    <row r="1492" spans="1:11">
      <c r="A1492" s="1" t="s">
        <v>180</v>
      </c>
      <c r="B1492" s="1" t="s">
        <v>180</v>
      </c>
      <c r="C1492" s="1" t="s">
        <v>94</v>
      </c>
      <c r="D1492" s="1" t="str">
        <f>""</f>
        <v/>
      </c>
      <c r="E1492" s="1" t="s">
        <v>112</v>
      </c>
      <c r="F1492" s="5">
        <v>0</v>
      </c>
      <c r="G1492" s="5">
        <v>0</v>
      </c>
      <c r="H1492" s="5">
        <v>0.03</v>
      </c>
      <c r="I1492" s="5">
        <v>-0.03</v>
      </c>
      <c r="J1492" s="5">
        <v>3961.1</v>
      </c>
      <c r="K1492" s="5">
        <v>0</v>
      </c>
    </row>
    <row r="1493" spans="1:11">
      <c r="A1493" s="1" t="str">
        <f>"20200624"</f>
        <v>20200624</v>
      </c>
      <c r="B1493" s="1" t="str">
        <f>"20200624"</f>
        <v>20200624</v>
      </c>
      <c r="C1493" s="1" t="str">
        <f>"基金申购拨出"</f>
        <v>基金申购拨出</v>
      </c>
      <c r="D1493" s="1" t="str">
        <f t="shared" ref="D1493:D1498" si="902">"AA0007"</f>
        <v>AA0007</v>
      </c>
      <c r="E1493" s="1" t="str">
        <f t="shared" ref="E1493:E1498" si="903">"银河水星1号集合"</f>
        <v>银河水星1号集合</v>
      </c>
      <c r="F1493" s="1">
        <v>0</v>
      </c>
      <c r="G1493" s="1">
        <v>0</v>
      </c>
      <c r="H1493" s="1">
        <v>0</v>
      </c>
      <c r="I1493" s="1">
        <v>-3956.1</v>
      </c>
      <c r="J1493" s="1">
        <v>5</v>
      </c>
      <c r="K1493" s="1">
        <v>0</v>
      </c>
    </row>
    <row r="1494" spans="1:11">
      <c r="A1494" s="1" t="s">
        <v>182</v>
      </c>
      <c r="B1494" s="1" t="s">
        <v>182</v>
      </c>
      <c r="C1494" s="1" t="s">
        <v>94</v>
      </c>
      <c r="D1494" s="1" t="str">
        <f>""</f>
        <v/>
      </c>
      <c r="E1494" s="1" t="s">
        <v>112</v>
      </c>
      <c r="F1494" s="5">
        <v>0</v>
      </c>
      <c r="G1494" s="5">
        <v>0</v>
      </c>
      <c r="H1494" s="5">
        <v>0.03</v>
      </c>
      <c r="I1494" s="5">
        <v>-0.03</v>
      </c>
      <c r="J1494" s="5">
        <v>4.97</v>
      </c>
      <c r="K1494" s="5">
        <v>0</v>
      </c>
    </row>
    <row r="1495" spans="1:11">
      <c r="A1495" s="1" t="str">
        <f>"20200629"</f>
        <v>20200629</v>
      </c>
      <c r="B1495" s="1" t="str">
        <f>"20200629"</f>
        <v>20200629</v>
      </c>
      <c r="C1495" s="1" t="str">
        <f>"基金赎回拨入"</f>
        <v>基金赎回拨入</v>
      </c>
      <c r="D1495" s="1" t="str">
        <f t="shared" si="902"/>
        <v>AA0007</v>
      </c>
      <c r="E1495" s="1" t="str">
        <f t="shared" si="903"/>
        <v>银河水星1号集合</v>
      </c>
      <c r="F1495" s="1">
        <v>0</v>
      </c>
      <c r="G1495" s="1">
        <v>18283</v>
      </c>
      <c r="H1495" s="1">
        <v>0</v>
      </c>
      <c r="I1495" s="1">
        <v>18283.83</v>
      </c>
      <c r="J1495" s="1">
        <v>18288.8</v>
      </c>
      <c r="K1495" s="1">
        <v>0</v>
      </c>
    </row>
    <row r="1496" spans="1:11">
      <c r="A1496" s="4" t="s">
        <v>183</v>
      </c>
      <c r="B1496" s="4" t="s">
        <v>183</v>
      </c>
      <c r="C1496" s="4" t="s">
        <v>94</v>
      </c>
      <c r="D1496" s="1" t="str">
        <f>""</f>
        <v/>
      </c>
      <c r="E1496" s="4" t="s">
        <v>112</v>
      </c>
      <c r="F1496" s="7">
        <v>0</v>
      </c>
      <c r="G1496" s="7">
        <v>0</v>
      </c>
      <c r="H1496" s="7">
        <v>0.14</v>
      </c>
      <c r="I1496" s="7">
        <v>-0.14</v>
      </c>
      <c r="J1496" s="7">
        <v>18288.66</v>
      </c>
      <c r="K1496" s="7">
        <v>0</v>
      </c>
    </row>
    <row r="1497" spans="1:11">
      <c r="A1497" s="4" t="s">
        <v>184</v>
      </c>
      <c r="B1497" s="4" t="s">
        <v>184</v>
      </c>
      <c r="C1497" s="4" t="s">
        <v>94</v>
      </c>
      <c r="D1497" s="1" t="str">
        <f>""</f>
        <v/>
      </c>
      <c r="E1497" s="4" t="s">
        <v>112</v>
      </c>
      <c r="F1497" s="7">
        <v>0</v>
      </c>
      <c r="G1497" s="7">
        <v>0</v>
      </c>
      <c r="H1497" s="7">
        <v>0.03</v>
      </c>
      <c r="I1497" s="7">
        <v>-0.03</v>
      </c>
      <c r="J1497" s="7">
        <v>18288.63</v>
      </c>
      <c r="K1497" s="7">
        <v>0</v>
      </c>
    </row>
    <row r="1498" spans="1:11">
      <c r="A1498" s="4" t="str">
        <f>"20200701"</f>
        <v>20200701</v>
      </c>
      <c r="B1498" s="4" t="str">
        <f>"20200701"</f>
        <v>20200701</v>
      </c>
      <c r="C1498" s="4" t="str">
        <f>"基金申购拨出"</f>
        <v>基金申购拨出</v>
      </c>
      <c r="D1498" s="4" t="str">
        <f t="shared" si="902"/>
        <v>AA0007</v>
      </c>
      <c r="E1498" s="4" t="str">
        <f t="shared" si="903"/>
        <v>银河水星1号集合</v>
      </c>
      <c r="F1498" s="4">
        <v>0</v>
      </c>
      <c r="G1498" s="4">
        <v>0</v>
      </c>
      <c r="H1498" s="4">
        <v>0</v>
      </c>
      <c r="I1498" s="4">
        <v>-18283.63</v>
      </c>
      <c r="J1498" s="4">
        <v>5</v>
      </c>
      <c r="K1498" s="4">
        <v>0</v>
      </c>
    </row>
    <row r="1499" spans="1:11">
      <c r="A1499" s="1" t="str">
        <f>"20200702"</f>
        <v>20200702</v>
      </c>
      <c r="B1499" s="1" t="str">
        <f>"20200702"</f>
        <v>20200702</v>
      </c>
      <c r="C1499" s="1" t="str">
        <f t="shared" ref="C1499:C1503" si="904">"港股通组合费"</f>
        <v>港股通组合费</v>
      </c>
      <c r="D1499" s="1" t="str">
        <f>""</f>
        <v/>
      </c>
      <c r="E1499" s="1" t="str">
        <f t="shared" ref="E1499:E1503" si="905">""</f>
        <v/>
      </c>
      <c r="F1499" s="1">
        <v>0</v>
      </c>
      <c r="G1499" s="1">
        <v>0</v>
      </c>
      <c r="H1499" s="1">
        <v>0.06</v>
      </c>
      <c r="I1499" s="1">
        <v>-0.06</v>
      </c>
      <c r="J1499" s="1">
        <v>4.94</v>
      </c>
      <c r="K1499" s="1">
        <v>0</v>
      </c>
    </row>
    <row r="1500" spans="1:11">
      <c r="A1500" s="1" t="str">
        <f>"20200703"</f>
        <v>20200703</v>
      </c>
      <c r="B1500" s="1" t="str">
        <f>"20200703"</f>
        <v>20200703</v>
      </c>
      <c r="C1500" s="1" t="str">
        <f t="shared" ref="C1500:C1504" si="906">"基金赎回拨入"</f>
        <v>基金赎回拨入</v>
      </c>
      <c r="D1500" s="1" t="str">
        <f t="shared" ref="D1500:D1504" si="907">"AA0007"</f>
        <v>AA0007</v>
      </c>
      <c r="E1500" s="1" t="str">
        <f t="shared" ref="E1500:E1504" si="908">"银河水星1号集合"</f>
        <v>银河水星1号集合</v>
      </c>
      <c r="F1500" s="1">
        <v>0</v>
      </c>
      <c r="G1500" s="1">
        <v>0</v>
      </c>
      <c r="H1500" s="1">
        <v>0</v>
      </c>
      <c r="I1500" s="1">
        <v>0.06</v>
      </c>
      <c r="J1500" s="1">
        <v>5</v>
      </c>
      <c r="K1500" s="1">
        <v>0</v>
      </c>
    </row>
    <row r="1501" spans="1:11">
      <c r="A1501" s="1" t="str">
        <f>"20200703"</f>
        <v>20200703</v>
      </c>
      <c r="B1501" s="1" t="str">
        <f>"20200703"</f>
        <v>20200703</v>
      </c>
      <c r="C1501" s="1" t="str">
        <f t="shared" si="904"/>
        <v>港股通组合费</v>
      </c>
      <c r="D1501" s="1" t="str">
        <f>""</f>
        <v/>
      </c>
      <c r="E1501" s="1" t="str">
        <f t="shared" si="905"/>
        <v/>
      </c>
      <c r="F1501" s="1">
        <v>0</v>
      </c>
      <c r="G1501" s="1">
        <v>0</v>
      </c>
      <c r="H1501" s="1">
        <v>0.03</v>
      </c>
      <c r="I1501" s="1">
        <v>-0.03</v>
      </c>
      <c r="J1501" s="1">
        <v>4.97</v>
      </c>
      <c r="K1501" s="1">
        <v>0</v>
      </c>
    </row>
    <row r="1502" spans="1:11">
      <c r="A1502" s="1" t="str">
        <f>"20200706"</f>
        <v>20200706</v>
      </c>
      <c r="B1502" s="1" t="str">
        <f>"20200706"</f>
        <v>20200706</v>
      </c>
      <c r="C1502" s="1" t="str">
        <f t="shared" si="906"/>
        <v>基金赎回拨入</v>
      </c>
      <c r="D1502" s="1" t="str">
        <f t="shared" si="907"/>
        <v>AA0007</v>
      </c>
      <c r="E1502" s="1" t="str">
        <f t="shared" si="908"/>
        <v>银河水星1号集合</v>
      </c>
      <c r="F1502" s="1">
        <v>0</v>
      </c>
      <c r="G1502" s="1">
        <v>0</v>
      </c>
      <c r="H1502" s="1">
        <v>0</v>
      </c>
      <c r="I1502" s="1">
        <v>0.03</v>
      </c>
      <c r="J1502" s="1">
        <v>5</v>
      </c>
      <c r="K1502" s="1">
        <v>0</v>
      </c>
    </row>
    <row r="1503" spans="1:11">
      <c r="A1503" s="1" t="str">
        <f>"20200706"</f>
        <v>20200706</v>
      </c>
      <c r="B1503" s="1" t="str">
        <f>"20200706"</f>
        <v>20200706</v>
      </c>
      <c r="C1503" s="1" t="str">
        <f t="shared" si="904"/>
        <v>港股通组合费</v>
      </c>
      <c r="D1503" s="1" t="str">
        <f>""</f>
        <v/>
      </c>
      <c r="E1503" s="1" t="str">
        <f t="shared" si="905"/>
        <v/>
      </c>
      <c r="F1503" s="1">
        <v>0</v>
      </c>
      <c r="G1503" s="1">
        <v>0</v>
      </c>
      <c r="H1503" s="1">
        <v>0.08</v>
      </c>
      <c r="I1503" s="1">
        <v>-0.08</v>
      </c>
      <c r="J1503" s="1">
        <v>4.92</v>
      </c>
      <c r="K1503" s="1">
        <v>0</v>
      </c>
    </row>
    <row r="1504" spans="1:11">
      <c r="A1504" s="1" t="str">
        <f>"20200707"</f>
        <v>20200707</v>
      </c>
      <c r="B1504" s="1" t="str">
        <f>"20200707"</f>
        <v>20200707</v>
      </c>
      <c r="C1504" s="1" t="str">
        <f t="shared" si="906"/>
        <v>基金赎回拨入</v>
      </c>
      <c r="D1504" s="1" t="str">
        <f t="shared" si="907"/>
        <v>AA0007</v>
      </c>
      <c r="E1504" s="1" t="str">
        <f t="shared" si="908"/>
        <v>银河水星1号集合</v>
      </c>
      <c r="F1504" s="1">
        <v>0</v>
      </c>
      <c r="G1504" s="1">
        <v>0</v>
      </c>
      <c r="H1504" s="1">
        <v>0</v>
      </c>
      <c r="I1504" s="1">
        <v>0.08</v>
      </c>
      <c r="J1504" s="1">
        <v>5</v>
      </c>
      <c r="K1504" s="1">
        <v>0</v>
      </c>
    </row>
    <row r="1505" spans="1:11">
      <c r="A1505" s="1" t="str">
        <f>"20200707"</f>
        <v>20200707</v>
      </c>
      <c r="B1505" s="1" t="str">
        <f>"20200707"</f>
        <v>20200707</v>
      </c>
      <c r="C1505" s="1" t="str">
        <f t="shared" ref="C1505:C1508" si="909">"港股通组合费"</f>
        <v>港股通组合费</v>
      </c>
      <c r="D1505" s="1" t="str">
        <f>""</f>
        <v/>
      </c>
      <c r="E1505" s="1" t="str">
        <f t="shared" ref="E1505:E1508" si="910">""</f>
        <v/>
      </c>
      <c r="F1505" s="1">
        <v>0</v>
      </c>
      <c r="G1505" s="1">
        <v>0</v>
      </c>
      <c r="H1505" s="1">
        <v>0.03</v>
      </c>
      <c r="I1505" s="1">
        <v>-0.03</v>
      </c>
      <c r="J1505" s="1">
        <v>4.97</v>
      </c>
      <c r="K1505" s="1">
        <v>0</v>
      </c>
    </row>
    <row r="1506" spans="1:11">
      <c r="A1506" s="1" t="str">
        <f>"20200708"</f>
        <v>20200708</v>
      </c>
      <c r="B1506" s="1" t="str">
        <f t="shared" ref="B1506:B1509" si="911">"20200708"</f>
        <v>20200708</v>
      </c>
      <c r="C1506" s="1" t="str">
        <f>"基金赎回拨入"</f>
        <v>基金赎回拨入</v>
      </c>
      <c r="D1506" s="1" t="str">
        <f>"AA0007"</f>
        <v>AA0007</v>
      </c>
      <c r="E1506" s="1" t="str">
        <f>"银河水星1号集合"</f>
        <v>银河水星1号集合</v>
      </c>
      <c r="F1506" s="1">
        <v>0</v>
      </c>
      <c r="G1506" s="1">
        <v>19026</v>
      </c>
      <c r="H1506" s="1">
        <v>0</v>
      </c>
      <c r="I1506" s="1">
        <v>19026.43</v>
      </c>
      <c r="J1506" s="1">
        <v>19031.4</v>
      </c>
      <c r="K1506" s="1">
        <v>0</v>
      </c>
    </row>
    <row r="1507" spans="1:11">
      <c r="A1507" s="1" t="str">
        <f>"20200708"</f>
        <v>20200708</v>
      </c>
      <c r="B1507" s="1" t="str">
        <f t="shared" si="911"/>
        <v>20200708</v>
      </c>
      <c r="C1507" s="1" t="str">
        <f t="shared" si="909"/>
        <v>港股通组合费</v>
      </c>
      <c r="D1507" s="1" t="str">
        <f>""</f>
        <v/>
      </c>
      <c r="E1507" s="1" t="str">
        <f t="shared" si="910"/>
        <v/>
      </c>
      <c r="F1507" s="1">
        <v>0</v>
      </c>
      <c r="G1507" s="1">
        <v>0</v>
      </c>
      <c r="H1507" s="1">
        <v>0.03</v>
      </c>
      <c r="I1507" s="1">
        <v>-0.03</v>
      </c>
      <c r="J1507" s="1">
        <v>19031.37</v>
      </c>
      <c r="K1507" s="1">
        <v>0</v>
      </c>
    </row>
    <row r="1508" spans="1:11">
      <c r="A1508" s="1" t="str">
        <f>"20200709"</f>
        <v>20200709</v>
      </c>
      <c r="B1508" s="1" t="str">
        <f>"20200709"</f>
        <v>20200709</v>
      </c>
      <c r="C1508" s="1" t="str">
        <f t="shared" si="909"/>
        <v>港股通组合费</v>
      </c>
      <c r="D1508" s="1" t="str">
        <f>""</f>
        <v/>
      </c>
      <c r="E1508" s="1" t="str">
        <f t="shared" si="910"/>
        <v/>
      </c>
      <c r="F1508" s="1">
        <v>0</v>
      </c>
      <c r="G1508" s="1">
        <v>0</v>
      </c>
      <c r="H1508" s="1">
        <v>0.03</v>
      </c>
      <c r="I1508" s="1">
        <v>-0.03</v>
      </c>
      <c r="J1508" s="1">
        <v>19031.34</v>
      </c>
      <c r="K1508" s="1">
        <v>0</v>
      </c>
    </row>
    <row r="1509" spans="1:11">
      <c r="A1509" s="1" t="str">
        <f>"20200710"</f>
        <v>20200710</v>
      </c>
      <c r="B1509" s="1" t="str">
        <f t="shared" si="911"/>
        <v>20200708</v>
      </c>
      <c r="C1509" s="1" t="str">
        <f>"港股通股票买入"</f>
        <v>港股通股票买入</v>
      </c>
      <c r="D1509" s="1" t="str">
        <f>"00386"</f>
        <v>00386</v>
      </c>
      <c r="E1509" s="1" t="str">
        <f>"中国石油"</f>
        <v>中国石油</v>
      </c>
      <c r="F1509" s="1">
        <v>3.07</v>
      </c>
      <c r="G1509" s="1">
        <v>6000</v>
      </c>
      <c r="H1509" s="1">
        <v>18437.4</v>
      </c>
      <c r="I1509" s="1">
        <v>-18469.34</v>
      </c>
      <c r="J1509" s="1">
        <v>562</v>
      </c>
      <c r="K1509" s="1">
        <v>38000</v>
      </c>
    </row>
    <row r="1510" spans="1:11">
      <c r="A1510" s="1" t="str">
        <f>"20200710"</f>
        <v>20200710</v>
      </c>
      <c r="B1510" s="1" t="str">
        <f>"20200710"</f>
        <v>20200710</v>
      </c>
      <c r="C1510" s="1" t="str">
        <f t="shared" ref="C1510:C1513" si="912">"港股通组合费"</f>
        <v>港股通组合费</v>
      </c>
      <c r="D1510" s="1" t="str">
        <f>""</f>
        <v/>
      </c>
      <c r="E1510" s="1" t="str">
        <f t="shared" ref="E1510:E1513" si="913">""</f>
        <v/>
      </c>
      <c r="F1510" s="1">
        <v>0</v>
      </c>
      <c r="G1510" s="1">
        <v>0</v>
      </c>
      <c r="H1510" s="1">
        <v>0.03</v>
      </c>
      <c r="I1510" s="1">
        <v>-0.03</v>
      </c>
      <c r="J1510" s="1">
        <v>561.97</v>
      </c>
      <c r="K1510" s="1">
        <v>0</v>
      </c>
    </row>
    <row r="1511" spans="1:11">
      <c r="A1511" s="1" t="str">
        <f>"20200713"</f>
        <v>20200713</v>
      </c>
      <c r="B1511" s="1" t="str">
        <f>"20200713"</f>
        <v>20200713</v>
      </c>
      <c r="C1511" s="1" t="str">
        <f t="shared" si="912"/>
        <v>港股通组合费</v>
      </c>
      <c r="D1511" s="1" t="str">
        <f>""</f>
        <v/>
      </c>
      <c r="E1511" s="1" t="str">
        <f t="shared" si="913"/>
        <v/>
      </c>
      <c r="F1511" s="1">
        <v>0</v>
      </c>
      <c r="G1511" s="1">
        <v>0</v>
      </c>
      <c r="H1511" s="1">
        <v>0.08</v>
      </c>
      <c r="I1511" s="1">
        <v>-0.08</v>
      </c>
      <c r="J1511" s="1">
        <v>561.89</v>
      </c>
      <c r="K1511" s="1">
        <v>0</v>
      </c>
    </row>
    <row r="1512" spans="1:11">
      <c r="A1512" s="1" t="str">
        <f>"20200714"</f>
        <v>20200714</v>
      </c>
      <c r="B1512" s="1" t="str">
        <f>"20200714"</f>
        <v>20200714</v>
      </c>
      <c r="C1512" s="1" t="str">
        <f t="shared" si="912"/>
        <v>港股通组合费</v>
      </c>
      <c r="D1512" s="1" t="str">
        <f>""</f>
        <v/>
      </c>
      <c r="E1512" s="1" t="str">
        <f t="shared" si="913"/>
        <v/>
      </c>
      <c r="F1512" s="1">
        <v>0</v>
      </c>
      <c r="G1512" s="1">
        <v>0</v>
      </c>
      <c r="H1512" s="1">
        <v>0.03</v>
      </c>
      <c r="I1512" s="1">
        <v>-0.03</v>
      </c>
      <c r="J1512" s="1">
        <v>561.86</v>
      </c>
      <c r="K1512" s="1">
        <v>0</v>
      </c>
    </row>
    <row r="1513" spans="1:11">
      <c r="A1513" s="1" t="str">
        <f>"20200715"</f>
        <v>20200715</v>
      </c>
      <c r="B1513" s="1" t="str">
        <f>"20200715"</f>
        <v>20200715</v>
      </c>
      <c r="C1513" s="1" t="str">
        <f t="shared" si="912"/>
        <v>港股通组合费</v>
      </c>
      <c r="D1513" s="1" t="str">
        <f>""</f>
        <v/>
      </c>
      <c r="E1513" s="1" t="str">
        <f t="shared" si="913"/>
        <v/>
      </c>
      <c r="F1513" s="1">
        <v>0</v>
      </c>
      <c r="G1513" s="1">
        <v>0</v>
      </c>
      <c r="H1513" s="1">
        <v>0.03</v>
      </c>
      <c r="I1513" s="1">
        <v>-0.03</v>
      </c>
      <c r="J1513" s="1">
        <v>561.83</v>
      </c>
      <c r="K1513" s="1">
        <v>0</v>
      </c>
    </row>
    <row r="1514" spans="1:11">
      <c r="A1514" s="1" t="str">
        <f t="shared" ref="A1514:A1516" si="914">"20200716"</f>
        <v>20200716</v>
      </c>
      <c r="B1514" s="1" t="str">
        <f t="shared" ref="B1514:B1516" si="915">"20200716"</f>
        <v>20200716</v>
      </c>
      <c r="C1514" s="1" t="str">
        <f>"基金上折"</f>
        <v>基金上折</v>
      </c>
      <c r="D1514" s="1" t="str">
        <f>"161024"</f>
        <v>161024</v>
      </c>
      <c r="E1514" s="1" t="str">
        <f>"军工分级"</f>
        <v>军工分级</v>
      </c>
      <c r="F1514" s="1">
        <v>0</v>
      </c>
      <c r="G1514" s="1">
        <v>2820</v>
      </c>
      <c r="H1514" s="1">
        <v>0</v>
      </c>
      <c r="I1514" s="1">
        <v>0</v>
      </c>
      <c r="J1514" s="1">
        <v>561.83</v>
      </c>
      <c r="K1514" s="1">
        <v>4241</v>
      </c>
    </row>
    <row r="1515" spans="1:11">
      <c r="A1515" s="1" t="str">
        <f t="shared" si="914"/>
        <v>20200716</v>
      </c>
      <c r="B1515" s="1" t="str">
        <f t="shared" si="915"/>
        <v>20200716</v>
      </c>
      <c r="C1515" s="1" t="str">
        <f>"基金上折"</f>
        <v>基金上折</v>
      </c>
      <c r="D1515" s="1" t="str">
        <f>"161024"</f>
        <v>161024</v>
      </c>
      <c r="E1515" s="1" t="str">
        <f>"军工分级"</f>
        <v>军工分级</v>
      </c>
      <c r="F1515" s="1">
        <v>0</v>
      </c>
      <c r="G1515" s="1">
        <v>636</v>
      </c>
      <c r="H1515" s="1">
        <v>0</v>
      </c>
      <c r="I1515" s="1">
        <v>0</v>
      </c>
      <c r="J1515" s="1">
        <v>561.83</v>
      </c>
      <c r="K1515" s="1">
        <v>4877</v>
      </c>
    </row>
    <row r="1516" spans="1:11">
      <c r="A1516" s="1" t="str">
        <f t="shared" si="914"/>
        <v>20200716</v>
      </c>
      <c r="B1516" s="1" t="str">
        <f t="shared" si="915"/>
        <v>20200716</v>
      </c>
      <c r="C1516" s="1" t="str">
        <f t="shared" ref="C1516:C1521" si="916">"港股通组合费"</f>
        <v>港股通组合费</v>
      </c>
      <c r="D1516" s="1" t="str">
        <f t="shared" ref="D1516:D1521" si="917">""</f>
        <v/>
      </c>
      <c r="E1516" s="1" t="str">
        <f t="shared" ref="E1516:E1521" si="918">""</f>
        <v/>
      </c>
      <c r="F1516" s="1">
        <v>0</v>
      </c>
      <c r="G1516" s="1">
        <v>0</v>
      </c>
      <c r="H1516" s="1">
        <v>0.03</v>
      </c>
      <c r="I1516" s="1">
        <v>-0.03</v>
      </c>
      <c r="J1516" s="1">
        <v>561.8</v>
      </c>
      <c r="K1516" s="1">
        <v>0</v>
      </c>
    </row>
    <row r="1517" spans="1:11">
      <c r="A1517" s="1" t="str">
        <f>"20200717"</f>
        <v>20200717</v>
      </c>
      <c r="B1517" s="1" t="str">
        <f>"20200717"</f>
        <v>20200717</v>
      </c>
      <c r="C1517" s="1" t="str">
        <f t="shared" si="916"/>
        <v>港股通组合费</v>
      </c>
      <c r="D1517" s="1" t="str">
        <f t="shared" si="917"/>
        <v/>
      </c>
      <c r="E1517" s="1" t="str">
        <f t="shared" si="918"/>
        <v/>
      </c>
      <c r="F1517" s="1">
        <v>0</v>
      </c>
      <c r="G1517" s="1">
        <v>0</v>
      </c>
      <c r="H1517" s="1">
        <v>0.03</v>
      </c>
      <c r="I1517" s="1">
        <v>-0.03</v>
      </c>
      <c r="J1517" s="1">
        <v>561.77</v>
      </c>
      <c r="K1517" s="1">
        <v>0</v>
      </c>
    </row>
    <row r="1518" spans="1:11">
      <c r="A1518" s="1" t="str">
        <f>"20200720"</f>
        <v>20200720</v>
      </c>
      <c r="B1518" s="1" t="str">
        <f>"20200720"</f>
        <v>20200720</v>
      </c>
      <c r="C1518" s="1" t="str">
        <f t="shared" si="916"/>
        <v>港股通组合费</v>
      </c>
      <c r="D1518" s="1" t="str">
        <f t="shared" si="917"/>
        <v/>
      </c>
      <c r="E1518" s="1" t="str">
        <f t="shared" si="918"/>
        <v/>
      </c>
      <c r="F1518" s="1">
        <v>0</v>
      </c>
      <c r="G1518" s="1">
        <v>0</v>
      </c>
      <c r="H1518" s="1">
        <v>0.08</v>
      </c>
      <c r="I1518" s="1">
        <v>-0.08</v>
      </c>
      <c r="J1518" s="1">
        <v>561.69</v>
      </c>
      <c r="K1518" s="1">
        <v>0</v>
      </c>
    </row>
    <row r="1519" spans="1:11">
      <c r="A1519" s="1" t="str">
        <f>"20200721"</f>
        <v>20200721</v>
      </c>
      <c r="B1519" s="1" t="str">
        <f>"20200721"</f>
        <v>20200721</v>
      </c>
      <c r="C1519" s="1" t="str">
        <f t="shared" si="916"/>
        <v>港股通组合费</v>
      </c>
      <c r="D1519" s="1" t="str">
        <f t="shared" si="917"/>
        <v/>
      </c>
      <c r="E1519" s="1" t="str">
        <f t="shared" si="918"/>
        <v/>
      </c>
      <c r="F1519" s="1">
        <v>0</v>
      </c>
      <c r="G1519" s="1">
        <v>0</v>
      </c>
      <c r="H1519" s="1">
        <v>0.03</v>
      </c>
      <c r="I1519" s="1">
        <v>-0.03</v>
      </c>
      <c r="J1519" s="1">
        <v>561.66</v>
      </c>
      <c r="K1519" s="1">
        <v>0</v>
      </c>
    </row>
    <row r="1520" spans="1:11">
      <c r="A1520" s="1" t="str">
        <f>"20200722"</f>
        <v>20200722</v>
      </c>
      <c r="B1520" s="1" t="str">
        <f>"20200722"</f>
        <v>20200722</v>
      </c>
      <c r="C1520" s="1" t="str">
        <f t="shared" si="916"/>
        <v>港股通组合费</v>
      </c>
      <c r="D1520" s="1" t="str">
        <f t="shared" si="917"/>
        <v/>
      </c>
      <c r="E1520" s="1" t="str">
        <f t="shared" si="918"/>
        <v/>
      </c>
      <c r="F1520" s="1">
        <v>0</v>
      </c>
      <c r="G1520" s="1">
        <v>0</v>
      </c>
      <c r="H1520" s="1">
        <v>0.03</v>
      </c>
      <c r="I1520" s="1">
        <v>-0.03</v>
      </c>
      <c r="J1520" s="1">
        <v>561.63</v>
      </c>
      <c r="K1520" s="1">
        <v>0</v>
      </c>
    </row>
    <row r="1521" spans="1:11">
      <c r="A1521" s="1" t="str">
        <f>"20200723"</f>
        <v>20200723</v>
      </c>
      <c r="B1521" s="1" t="str">
        <f>"20200723"</f>
        <v>20200723</v>
      </c>
      <c r="C1521" s="1" t="str">
        <f t="shared" si="916"/>
        <v>港股通组合费</v>
      </c>
      <c r="D1521" s="1" t="str">
        <f t="shared" si="917"/>
        <v/>
      </c>
      <c r="E1521" s="1" t="str">
        <f t="shared" si="918"/>
        <v/>
      </c>
      <c r="F1521" s="1">
        <v>0</v>
      </c>
      <c r="G1521" s="1">
        <v>0</v>
      </c>
      <c r="H1521" s="1">
        <v>0.03</v>
      </c>
      <c r="I1521" s="1">
        <v>-0.03</v>
      </c>
      <c r="J1521" s="1">
        <v>561.6</v>
      </c>
      <c r="K1521" s="1">
        <v>0</v>
      </c>
    </row>
    <row r="1522" spans="1:11">
      <c r="A1522" s="1" t="str">
        <f t="shared" ref="A1522:A1524" si="919">"20200724"</f>
        <v>20200724</v>
      </c>
      <c r="B1522" s="1" t="str">
        <f t="shared" ref="B1522:B1524" si="920">"20200724"</f>
        <v>20200724</v>
      </c>
      <c r="C1522" s="1" t="str">
        <f>"基金申购拨出"</f>
        <v>基金申购拨出</v>
      </c>
      <c r="D1522" s="1" t="str">
        <f>"AA0007"</f>
        <v>AA0007</v>
      </c>
      <c r="E1522" s="1" t="str">
        <f>"银河水星1号集合"</f>
        <v>银河水星1号集合</v>
      </c>
      <c r="F1522" s="1">
        <v>0</v>
      </c>
      <c r="G1522" s="1">
        <v>0</v>
      </c>
      <c r="H1522" s="1">
        <v>0</v>
      </c>
      <c r="I1522" s="1">
        <v>-4248.82</v>
      </c>
      <c r="J1522" s="1">
        <v>-3687.22</v>
      </c>
      <c r="K1522" s="1">
        <v>0</v>
      </c>
    </row>
    <row r="1523" spans="1:11">
      <c r="A1523" s="1" t="str">
        <f t="shared" si="919"/>
        <v>20200724</v>
      </c>
      <c r="B1523" s="1" t="str">
        <f t="shared" si="920"/>
        <v>20200724</v>
      </c>
      <c r="C1523" s="1" t="str">
        <f>"证券卖出"</f>
        <v>证券卖出</v>
      </c>
      <c r="D1523" s="1" t="str">
        <f>"150182"</f>
        <v>150182</v>
      </c>
      <c r="E1523" s="1" t="str">
        <f>"军工B"</f>
        <v>军工B</v>
      </c>
      <c r="F1523" s="1">
        <v>1.472</v>
      </c>
      <c r="G1523" s="1">
        <v>3246</v>
      </c>
      <c r="H1523" s="1">
        <v>4778.11</v>
      </c>
      <c r="I1523" s="1">
        <v>4773.11</v>
      </c>
      <c r="J1523" s="1">
        <v>1085.89</v>
      </c>
      <c r="K1523" s="1">
        <v>0</v>
      </c>
    </row>
    <row r="1524" spans="1:11">
      <c r="A1524" s="1" t="str">
        <f t="shared" si="919"/>
        <v>20200724</v>
      </c>
      <c r="B1524" s="1" t="str">
        <f t="shared" si="920"/>
        <v>20200724</v>
      </c>
      <c r="C1524" s="1" t="str">
        <f>"港股通组合费"</f>
        <v>港股通组合费</v>
      </c>
      <c r="D1524" s="1" t="str">
        <f>""</f>
        <v/>
      </c>
      <c r="E1524" s="1" t="str">
        <f>""</f>
        <v/>
      </c>
      <c r="F1524" s="1">
        <v>0</v>
      </c>
      <c r="G1524" s="1">
        <v>0</v>
      </c>
      <c r="H1524" s="1">
        <v>0.03</v>
      </c>
      <c r="I1524" s="1">
        <v>-0.03</v>
      </c>
      <c r="J1524" s="1">
        <v>1085.86</v>
      </c>
      <c r="K1524" s="1">
        <v>0</v>
      </c>
    </row>
    <row r="1525" spans="1:11">
      <c r="A1525" s="1" t="str">
        <f>"20200727"</f>
        <v>20200727</v>
      </c>
      <c r="B1525" s="1" t="str">
        <f>"20200727"</f>
        <v>20200727</v>
      </c>
      <c r="C1525" s="1" t="str">
        <f>"基金申购拨出"</f>
        <v>基金申购拨出</v>
      </c>
      <c r="D1525" s="1" t="str">
        <f>"AA0007"</f>
        <v>AA0007</v>
      </c>
      <c r="E1525" s="1" t="str">
        <f>"银河水星1号集合"</f>
        <v>银河水星1号集合</v>
      </c>
      <c r="F1525" s="1">
        <v>0</v>
      </c>
      <c r="G1525" s="1">
        <v>0</v>
      </c>
      <c r="H1525" s="1">
        <v>0</v>
      </c>
      <c r="I1525" s="1">
        <v>-1080.86</v>
      </c>
      <c r="J1525" s="1">
        <v>5</v>
      </c>
      <c r="K1525" s="1">
        <v>0</v>
      </c>
    </row>
    <row r="1526" spans="1:11">
      <c r="A1526" s="1" t="str">
        <f>"20200727"</f>
        <v>20200727</v>
      </c>
      <c r="B1526" s="1" t="str">
        <f>"20200727"</f>
        <v>20200727</v>
      </c>
      <c r="C1526" s="1" t="str">
        <f>"港股通组合费"</f>
        <v>港股通组合费</v>
      </c>
      <c r="D1526" s="1" t="str">
        <f>""</f>
        <v/>
      </c>
      <c r="E1526" s="1" t="str">
        <f>""</f>
        <v/>
      </c>
      <c r="F1526" s="1">
        <v>0</v>
      </c>
      <c r="G1526" s="1">
        <v>0</v>
      </c>
      <c r="H1526" s="1">
        <v>0.08</v>
      </c>
      <c r="I1526" s="1">
        <v>-0.08</v>
      </c>
      <c r="J1526" s="1">
        <v>4.92</v>
      </c>
      <c r="K1526" s="1">
        <v>0</v>
      </c>
    </row>
    <row r="1527" spans="1:11">
      <c r="A1527" s="1" t="str">
        <f t="shared" ref="A1527:A1530" si="921">"20200728"</f>
        <v>20200728</v>
      </c>
      <c r="B1527" s="1" t="str">
        <f t="shared" ref="B1527:B1529" si="922">"20200724"</f>
        <v>20200724</v>
      </c>
      <c r="C1527" s="1" t="str">
        <f>"开放基金赎回"</f>
        <v>开放基金赎回</v>
      </c>
      <c r="D1527" s="1" t="str">
        <f>"161024"</f>
        <v>161024</v>
      </c>
      <c r="E1527" s="1" t="str">
        <f>"军工分级"</f>
        <v>军工分级</v>
      </c>
      <c r="F1527" s="1">
        <v>1.062</v>
      </c>
      <c r="G1527" s="1">
        <v>4877</v>
      </c>
      <c r="H1527" s="1">
        <v>5179.37</v>
      </c>
      <c r="I1527" s="1">
        <v>5153.47</v>
      </c>
      <c r="J1527" s="1">
        <v>5158.39</v>
      </c>
      <c r="K1527" s="1">
        <v>0</v>
      </c>
    </row>
    <row r="1528" spans="1:11">
      <c r="A1528" s="1" t="str">
        <f t="shared" si="921"/>
        <v>20200728</v>
      </c>
      <c r="B1528" s="1" t="str">
        <f t="shared" si="922"/>
        <v>20200724</v>
      </c>
      <c r="C1528" s="1" t="str">
        <f>"港股通股票卖出"</f>
        <v>港股通股票卖出</v>
      </c>
      <c r="D1528" s="1" t="str">
        <f>"00386"</f>
        <v>00386</v>
      </c>
      <c r="E1528" s="1" t="str">
        <f>"中国石油"</f>
        <v>中国石油</v>
      </c>
      <c r="F1528" s="1">
        <v>3.14</v>
      </c>
      <c r="G1528" s="1">
        <v>6000</v>
      </c>
      <c r="H1528" s="1">
        <v>18817.32</v>
      </c>
      <c r="I1528" s="1">
        <v>18782.97</v>
      </c>
      <c r="J1528" s="1">
        <v>23941.36</v>
      </c>
      <c r="K1528" s="1">
        <v>32000</v>
      </c>
    </row>
    <row r="1529" spans="1:11">
      <c r="A1529" s="1" t="str">
        <f t="shared" si="921"/>
        <v>20200728</v>
      </c>
      <c r="B1529" s="1" t="str">
        <f t="shared" si="922"/>
        <v>20200724</v>
      </c>
      <c r="C1529" s="1" t="str">
        <f>"港股通股票买入"</f>
        <v>港股通股票买入</v>
      </c>
      <c r="D1529" s="1" t="str">
        <f>"00386"</f>
        <v>00386</v>
      </c>
      <c r="E1529" s="1" t="str">
        <f>"中国石油"</f>
        <v>中国石油</v>
      </c>
      <c r="F1529" s="1">
        <v>3.12</v>
      </c>
      <c r="G1529" s="1">
        <v>6000</v>
      </c>
      <c r="H1529" s="1">
        <v>18687.75</v>
      </c>
      <c r="I1529" s="1">
        <v>-18719.75</v>
      </c>
      <c r="J1529" s="1">
        <v>5221.61</v>
      </c>
      <c r="K1529" s="1">
        <v>38000</v>
      </c>
    </row>
    <row r="1530" spans="1:11">
      <c r="A1530" s="1" t="str">
        <f t="shared" si="921"/>
        <v>20200728</v>
      </c>
      <c r="B1530" s="1" t="str">
        <f>"20200728"</f>
        <v>20200728</v>
      </c>
      <c r="C1530" s="1" t="str">
        <f t="shared" ref="C1530:C1534" si="923">"港股通组合费"</f>
        <v>港股通组合费</v>
      </c>
      <c r="D1530" s="1" t="str">
        <f>""</f>
        <v/>
      </c>
      <c r="E1530" s="1" t="str">
        <f t="shared" ref="E1530:E1534" si="924">""</f>
        <v/>
      </c>
      <c r="F1530" s="1">
        <v>0</v>
      </c>
      <c r="G1530" s="1">
        <v>0</v>
      </c>
      <c r="H1530" s="1">
        <v>0.03</v>
      </c>
      <c r="I1530" s="1">
        <v>-0.03</v>
      </c>
      <c r="J1530" s="1">
        <v>5221.58</v>
      </c>
      <c r="K1530" s="1">
        <v>0</v>
      </c>
    </row>
    <row r="1531" spans="1:11">
      <c r="A1531" s="1" t="str">
        <f>"20200729"</f>
        <v>20200729</v>
      </c>
      <c r="B1531" s="1" t="str">
        <f>"20200729"</f>
        <v>20200729</v>
      </c>
      <c r="C1531" s="1" t="str">
        <f>"基金申购拨出"</f>
        <v>基金申购拨出</v>
      </c>
      <c r="D1531" s="1" t="str">
        <f t="shared" ref="D1531:D1535" si="925">"AA0007"</f>
        <v>AA0007</v>
      </c>
      <c r="E1531" s="1" t="str">
        <f t="shared" ref="E1531:E1535" si="926">"银河水星1号集合"</f>
        <v>银河水星1号集合</v>
      </c>
      <c r="F1531" s="1">
        <v>0</v>
      </c>
      <c r="G1531" s="1">
        <v>0</v>
      </c>
      <c r="H1531" s="1">
        <v>0</v>
      </c>
      <c r="I1531" s="1">
        <v>-5216.58</v>
      </c>
      <c r="J1531" s="1">
        <v>5</v>
      </c>
      <c r="K1531" s="1">
        <v>0</v>
      </c>
    </row>
    <row r="1532" spans="1:11">
      <c r="A1532" s="1" t="str">
        <f>"20200729"</f>
        <v>20200729</v>
      </c>
      <c r="B1532" s="1" t="str">
        <f>"20200729"</f>
        <v>20200729</v>
      </c>
      <c r="C1532" s="1" t="str">
        <f t="shared" si="923"/>
        <v>港股通组合费</v>
      </c>
      <c r="D1532" s="1" t="str">
        <f>""</f>
        <v/>
      </c>
      <c r="E1532" s="1" t="str">
        <f t="shared" si="924"/>
        <v/>
      </c>
      <c r="F1532" s="1">
        <v>0</v>
      </c>
      <c r="G1532" s="1">
        <v>0</v>
      </c>
      <c r="H1532" s="1">
        <v>0.03</v>
      </c>
      <c r="I1532" s="1">
        <v>-0.03</v>
      </c>
      <c r="J1532" s="1">
        <v>4.97</v>
      </c>
      <c r="K1532" s="1">
        <v>0</v>
      </c>
    </row>
    <row r="1533" spans="1:11">
      <c r="A1533" s="1" t="str">
        <f>"20200730"</f>
        <v>20200730</v>
      </c>
      <c r="B1533" s="1" t="str">
        <f>"20200730"</f>
        <v>20200730</v>
      </c>
      <c r="C1533" s="1" t="str">
        <f t="shared" ref="C1533:C1537" si="927">"基金赎回拨入"</f>
        <v>基金赎回拨入</v>
      </c>
      <c r="D1533" s="1" t="str">
        <f t="shared" si="925"/>
        <v>AA0007</v>
      </c>
      <c r="E1533" s="1" t="str">
        <f t="shared" si="926"/>
        <v>银河水星1号集合</v>
      </c>
      <c r="F1533" s="1">
        <v>0</v>
      </c>
      <c r="G1533" s="1">
        <v>0</v>
      </c>
      <c r="H1533" s="1">
        <v>0</v>
      </c>
      <c r="I1533" s="1">
        <v>0.03</v>
      </c>
      <c r="J1533" s="1">
        <v>5</v>
      </c>
      <c r="K1533" s="1">
        <v>0</v>
      </c>
    </row>
    <row r="1534" spans="1:11">
      <c r="A1534" s="1" t="str">
        <f>"20200730"</f>
        <v>20200730</v>
      </c>
      <c r="B1534" s="1" t="str">
        <f>"20200730"</f>
        <v>20200730</v>
      </c>
      <c r="C1534" s="1" t="str">
        <f t="shared" si="923"/>
        <v>港股通组合费</v>
      </c>
      <c r="D1534" s="1" t="str">
        <f>""</f>
        <v/>
      </c>
      <c r="E1534" s="1" t="str">
        <f t="shared" si="924"/>
        <v/>
      </c>
      <c r="F1534" s="1">
        <v>0</v>
      </c>
      <c r="G1534" s="1">
        <v>0</v>
      </c>
      <c r="H1534" s="1">
        <v>0.03</v>
      </c>
      <c r="I1534" s="1">
        <v>-0.03</v>
      </c>
      <c r="J1534" s="1">
        <v>4.97</v>
      </c>
      <c r="K1534" s="1">
        <v>0</v>
      </c>
    </row>
    <row r="1535" spans="1:11">
      <c r="A1535" s="1" t="str">
        <f>"20200731"</f>
        <v>20200731</v>
      </c>
      <c r="B1535" s="1" t="str">
        <f>"20200731"</f>
        <v>20200731</v>
      </c>
      <c r="C1535" s="1" t="str">
        <f t="shared" si="927"/>
        <v>基金赎回拨入</v>
      </c>
      <c r="D1535" s="1" t="str">
        <f t="shared" si="925"/>
        <v>AA0007</v>
      </c>
      <c r="E1535" s="1" t="str">
        <f t="shared" si="926"/>
        <v>银河水星1号集合</v>
      </c>
      <c r="F1535" s="1">
        <v>0</v>
      </c>
      <c r="G1535" s="1">
        <v>0</v>
      </c>
      <c r="H1535" s="1">
        <v>0</v>
      </c>
      <c r="I1535" s="1">
        <v>0.03</v>
      </c>
      <c r="J1535" s="1">
        <v>5</v>
      </c>
      <c r="K1535" s="1">
        <v>0</v>
      </c>
    </row>
    <row r="1536" spans="1:11">
      <c r="A1536" s="1" t="str">
        <f>"20200731"</f>
        <v>20200731</v>
      </c>
      <c r="B1536" s="1" t="str">
        <f>"20200731"</f>
        <v>20200731</v>
      </c>
      <c r="C1536" s="1" t="str">
        <f t="shared" ref="C1536:C1540" si="928">"港股通组合费"</f>
        <v>港股通组合费</v>
      </c>
      <c r="D1536" s="1" t="str">
        <f>""</f>
        <v/>
      </c>
      <c r="E1536" s="1" t="str">
        <f t="shared" ref="E1536:E1540" si="929">""</f>
        <v/>
      </c>
      <c r="F1536" s="1">
        <v>0</v>
      </c>
      <c r="G1536" s="1">
        <v>0</v>
      </c>
      <c r="H1536" s="1">
        <v>0.03</v>
      </c>
      <c r="I1536" s="1">
        <v>-0.03</v>
      </c>
      <c r="J1536" s="1">
        <v>4.97</v>
      </c>
      <c r="K1536" s="1">
        <v>0</v>
      </c>
    </row>
    <row r="1537" spans="1:11">
      <c r="A1537" s="1" t="str">
        <f>"20200803"</f>
        <v>20200803</v>
      </c>
      <c r="B1537" s="1" t="str">
        <f>"20200803"</f>
        <v>20200803</v>
      </c>
      <c r="C1537" s="1" t="str">
        <f t="shared" si="927"/>
        <v>基金赎回拨入</v>
      </c>
      <c r="D1537" s="1" t="str">
        <f t="shared" ref="D1537:D1541" si="930">"AA0007"</f>
        <v>AA0007</v>
      </c>
      <c r="E1537" s="1" t="str">
        <f t="shared" ref="E1537:E1541" si="931">"银河水星1号集合"</f>
        <v>银河水星1号集合</v>
      </c>
      <c r="F1537" s="1">
        <v>0</v>
      </c>
      <c r="G1537" s="1">
        <v>0</v>
      </c>
      <c r="H1537" s="1">
        <v>0</v>
      </c>
      <c r="I1537" s="1">
        <v>0.03</v>
      </c>
      <c r="J1537" s="1">
        <v>5</v>
      </c>
      <c r="K1537" s="1">
        <v>0</v>
      </c>
    </row>
    <row r="1538" spans="1:11">
      <c r="A1538" s="1" t="str">
        <f>"20200803"</f>
        <v>20200803</v>
      </c>
      <c r="B1538" s="1" t="str">
        <f>"20200803"</f>
        <v>20200803</v>
      </c>
      <c r="C1538" s="1" t="str">
        <f t="shared" si="928"/>
        <v>港股通组合费</v>
      </c>
      <c r="D1538" s="1" t="str">
        <f>""</f>
        <v/>
      </c>
      <c r="E1538" s="1" t="str">
        <f t="shared" si="929"/>
        <v/>
      </c>
      <c r="F1538" s="1">
        <v>0</v>
      </c>
      <c r="G1538" s="1">
        <v>0</v>
      </c>
      <c r="H1538" s="1">
        <v>0.08</v>
      </c>
      <c r="I1538" s="1">
        <v>-0.08</v>
      </c>
      <c r="J1538" s="1">
        <v>4.92</v>
      </c>
      <c r="K1538" s="1">
        <v>0</v>
      </c>
    </row>
    <row r="1539" spans="1:11">
      <c r="A1539" s="1" t="str">
        <f>"20200804"</f>
        <v>20200804</v>
      </c>
      <c r="B1539" s="1" t="str">
        <f>"20200804"</f>
        <v>20200804</v>
      </c>
      <c r="C1539" s="1" t="str">
        <f t="shared" ref="C1539:C1543" si="932">"基金赎回拨入"</f>
        <v>基金赎回拨入</v>
      </c>
      <c r="D1539" s="1" t="str">
        <f t="shared" si="930"/>
        <v>AA0007</v>
      </c>
      <c r="E1539" s="1" t="str">
        <f t="shared" si="931"/>
        <v>银河水星1号集合</v>
      </c>
      <c r="F1539" s="1">
        <v>0</v>
      </c>
      <c r="G1539" s="1">
        <v>0</v>
      </c>
      <c r="H1539" s="1">
        <v>0</v>
      </c>
      <c r="I1539" s="1">
        <v>0.08</v>
      </c>
      <c r="J1539" s="1">
        <v>5</v>
      </c>
      <c r="K1539" s="1">
        <v>0</v>
      </c>
    </row>
    <row r="1540" spans="1:11">
      <c r="A1540" s="1" t="str">
        <f>"20200804"</f>
        <v>20200804</v>
      </c>
      <c r="B1540" s="1" t="str">
        <f>"20200804"</f>
        <v>20200804</v>
      </c>
      <c r="C1540" s="1" t="str">
        <f t="shared" si="928"/>
        <v>港股通组合费</v>
      </c>
      <c r="D1540" s="1" t="str">
        <f>""</f>
        <v/>
      </c>
      <c r="E1540" s="1" t="str">
        <f t="shared" si="929"/>
        <v/>
      </c>
      <c r="F1540" s="1">
        <v>0</v>
      </c>
      <c r="G1540" s="1">
        <v>0</v>
      </c>
      <c r="H1540" s="1">
        <v>0.03</v>
      </c>
      <c r="I1540" s="1">
        <v>-0.03</v>
      </c>
      <c r="J1540" s="1">
        <v>4.97</v>
      </c>
      <c r="K1540" s="1">
        <v>0</v>
      </c>
    </row>
    <row r="1541" spans="1:11">
      <c r="A1541" s="1" t="str">
        <f>"20200805"</f>
        <v>20200805</v>
      </c>
      <c r="B1541" s="1" t="str">
        <f>"20200805"</f>
        <v>20200805</v>
      </c>
      <c r="C1541" s="1" t="str">
        <f t="shared" si="932"/>
        <v>基金赎回拨入</v>
      </c>
      <c r="D1541" s="1" t="str">
        <f t="shared" si="930"/>
        <v>AA0007</v>
      </c>
      <c r="E1541" s="1" t="str">
        <f t="shared" si="931"/>
        <v>银河水星1号集合</v>
      </c>
      <c r="F1541" s="1">
        <v>0</v>
      </c>
      <c r="G1541" s="1">
        <v>0</v>
      </c>
      <c r="H1541" s="1">
        <v>0</v>
      </c>
      <c r="I1541" s="1">
        <v>0.03</v>
      </c>
      <c r="J1541" s="1">
        <v>5</v>
      </c>
      <c r="K1541" s="1">
        <v>0</v>
      </c>
    </row>
    <row r="1542" spans="1:11">
      <c r="A1542" s="1" t="str">
        <f>"20200805"</f>
        <v>20200805</v>
      </c>
      <c r="B1542" s="1" t="str">
        <f>"20200805"</f>
        <v>20200805</v>
      </c>
      <c r="C1542" s="1" t="str">
        <f t="shared" ref="C1542:C1546" si="933">"港股通组合费"</f>
        <v>港股通组合费</v>
      </c>
      <c r="D1542" s="1" t="str">
        <f>""</f>
        <v/>
      </c>
      <c r="E1542" s="1" t="str">
        <f t="shared" ref="E1542:E1546" si="934">""</f>
        <v/>
      </c>
      <c r="F1542" s="1">
        <v>0</v>
      </c>
      <c r="G1542" s="1">
        <v>0</v>
      </c>
      <c r="H1542" s="1">
        <v>0.03</v>
      </c>
      <c r="I1542" s="1">
        <v>-0.03</v>
      </c>
      <c r="J1542" s="1">
        <v>4.97</v>
      </c>
      <c r="K1542" s="1">
        <v>0</v>
      </c>
    </row>
    <row r="1543" spans="1:11">
      <c r="A1543" s="1" t="str">
        <f>"20200806"</f>
        <v>20200806</v>
      </c>
      <c r="B1543" s="1" t="str">
        <f>"20200806"</f>
        <v>20200806</v>
      </c>
      <c r="C1543" s="1" t="str">
        <f t="shared" si="932"/>
        <v>基金赎回拨入</v>
      </c>
      <c r="D1543" s="1" t="str">
        <f t="shared" ref="D1543:D1547" si="935">"AA0007"</f>
        <v>AA0007</v>
      </c>
      <c r="E1543" s="1" t="str">
        <f t="shared" ref="E1543:E1547" si="936">"银河水星1号集合"</f>
        <v>银河水星1号集合</v>
      </c>
      <c r="F1543" s="1">
        <v>0</v>
      </c>
      <c r="G1543" s="1">
        <v>0</v>
      </c>
      <c r="H1543" s="1">
        <v>0</v>
      </c>
      <c r="I1543" s="1">
        <v>0.03</v>
      </c>
      <c r="J1543" s="1">
        <v>5</v>
      </c>
      <c r="K1543" s="1">
        <v>0</v>
      </c>
    </row>
    <row r="1544" spans="1:11">
      <c r="A1544" s="1" t="str">
        <f>"20200806"</f>
        <v>20200806</v>
      </c>
      <c r="B1544" s="1" t="str">
        <f>"20200806"</f>
        <v>20200806</v>
      </c>
      <c r="C1544" s="1" t="str">
        <f t="shared" si="933"/>
        <v>港股通组合费</v>
      </c>
      <c r="D1544" s="1" t="str">
        <f>""</f>
        <v/>
      </c>
      <c r="E1544" s="1" t="str">
        <f t="shared" si="934"/>
        <v/>
      </c>
      <c r="F1544" s="1">
        <v>0</v>
      </c>
      <c r="G1544" s="1">
        <v>0</v>
      </c>
      <c r="H1544" s="1">
        <v>0.03</v>
      </c>
      <c r="I1544" s="1">
        <v>-0.03</v>
      </c>
      <c r="J1544" s="1">
        <v>4.97</v>
      </c>
      <c r="K1544" s="1">
        <v>0</v>
      </c>
    </row>
    <row r="1545" spans="1:11">
      <c r="A1545" s="1" t="str">
        <f>"20200807"</f>
        <v>20200807</v>
      </c>
      <c r="B1545" s="1" t="str">
        <f>"20200807"</f>
        <v>20200807</v>
      </c>
      <c r="C1545" s="1" t="str">
        <f t="shared" ref="C1545:C1549" si="937">"基金赎回拨入"</f>
        <v>基金赎回拨入</v>
      </c>
      <c r="D1545" s="1" t="str">
        <f t="shared" si="935"/>
        <v>AA0007</v>
      </c>
      <c r="E1545" s="1" t="str">
        <f t="shared" si="936"/>
        <v>银河水星1号集合</v>
      </c>
      <c r="F1545" s="1">
        <v>0</v>
      </c>
      <c r="G1545" s="1">
        <v>0</v>
      </c>
      <c r="H1545" s="1">
        <v>0</v>
      </c>
      <c r="I1545" s="1">
        <v>0.03</v>
      </c>
      <c r="J1545" s="1">
        <v>5</v>
      </c>
      <c r="K1545" s="1">
        <v>0</v>
      </c>
    </row>
    <row r="1546" spans="1:11">
      <c r="A1546" s="1" t="str">
        <f>"20200807"</f>
        <v>20200807</v>
      </c>
      <c r="B1546" s="1" t="str">
        <f>"20200807"</f>
        <v>20200807</v>
      </c>
      <c r="C1546" s="1" t="str">
        <f t="shared" si="933"/>
        <v>港股通组合费</v>
      </c>
      <c r="D1546" s="1" t="str">
        <f>""</f>
        <v/>
      </c>
      <c r="E1546" s="1" t="str">
        <f t="shared" si="934"/>
        <v/>
      </c>
      <c r="F1546" s="1">
        <v>0</v>
      </c>
      <c r="G1546" s="1">
        <v>0</v>
      </c>
      <c r="H1546" s="1">
        <v>0.03</v>
      </c>
      <c r="I1546" s="1">
        <v>-0.03</v>
      </c>
      <c r="J1546" s="1">
        <v>4.97</v>
      </c>
      <c r="K1546" s="1">
        <v>0</v>
      </c>
    </row>
    <row r="1547" spans="1:11">
      <c r="A1547" s="1" t="str">
        <f>"20200810"</f>
        <v>20200810</v>
      </c>
      <c r="B1547" s="1" t="str">
        <f>"20200810"</f>
        <v>20200810</v>
      </c>
      <c r="C1547" s="1" t="str">
        <f t="shared" si="937"/>
        <v>基金赎回拨入</v>
      </c>
      <c r="D1547" s="1" t="str">
        <f t="shared" si="935"/>
        <v>AA0007</v>
      </c>
      <c r="E1547" s="1" t="str">
        <f t="shared" si="936"/>
        <v>银河水星1号集合</v>
      </c>
      <c r="F1547" s="1">
        <v>0</v>
      </c>
      <c r="G1547" s="1">
        <v>0</v>
      </c>
      <c r="H1547" s="1">
        <v>0</v>
      </c>
      <c r="I1547" s="1">
        <v>0.03</v>
      </c>
      <c r="J1547" s="1">
        <v>5</v>
      </c>
      <c r="K1547" s="1">
        <v>0</v>
      </c>
    </row>
    <row r="1548" spans="1:11">
      <c r="A1548" s="1" t="str">
        <f>"20200810"</f>
        <v>20200810</v>
      </c>
      <c r="B1548" s="1" t="str">
        <f>"20200810"</f>
        <v>20200810</v>
      </c>
      <c r="C1548" s="1" t="str">
        <f t="shared" ref="C1548:C1552" si="938">"港股通组合费"</f>
        <v>港股通组合费</v>
      </c>
      <c r="D1548" s="1" t="str">
        <f>""</f>
        <v/>
      </c>
      <c r="E1548" s="1" t="str">
        <f t="shared" ref="E1548:E1552" si="939">""</f>
        <v/>
      </c>
      <c r="F1548" s="1">
        <v>0</v>
      </c>
      <c r="G1548" s="1">
        <v>0</v>
      </c>
      <c r="H1548" s="1">
        <v>0.08</v>
      </c>
      <c r="I1548" s="1">
        <v>-0.08</v>
      </c>
      <c r="J1548" s="1">
        <v>4.92</v>
      </c>
      <c r="K1548" s="1">
        <v>0</v>
      </c>
    </row>
    <row r="1549" spans="1:11">
      <c r="A1549" s="1" t="str">
        <f>"20200811"</f>
        <v>20200811</v>
      </c>
      <c r="B1549" s="1" t="str">
        <f>"20200811"</f>
        <v>20200811</v>
      </c>
      <c r="C1549" s="1" t="str">
        <f t="shared" si="937"/>
        <v>基金赎回拨入</v>
      </c>
      <c r="D1549" s="1" t="str">
        <f t="shared" ref="D1549:D1553" si="940">"AA0007"</f>
        <v>AA0007</v>
      </c>
      <c r="E1549" s="1" t="str">
        <f t="shared" ref="E1549:E1553" si="941">"银河水星1号集合"</f>
        <v>银河水星1号集合</v>
      </c>
      <c r="F1549" s="1">
        <v>0</v>
      </c>
      <c r="G1549" s="1">
        <v>0</v>
      </c>
      <c r="H1549" s="1">
        <v>0</v>
      </c>
      <c r="I1549" s="1">
        <v>0.08</v>
      </c>
      <c r="J1549" s="1">
        <v>5</v>
      </c>
      <c r="K1549" s="1">
        <v>0</v>
      </c>
    </row>
    <row r="1550" spans="1:11">
      <c r="A1550" s="1" t="str">
        <f>"20200811"</f>
        <v>20200811</v>
      </c>
      <c r="B1550" s="1" t="str">
        <f>"20200811"</f>
        <v>20200811</v>
      </c>
      <c r="C1550" s="1" t="str">
        <f t="shared" si="938"/>
        <v>港股通组合费</v>
      </c>
      <c r="D1550" s="1" t="str">
        <f>""</f>
        <v/>
      </c>
      <c r="E1550" s="1" t="str">
        <f t="shared" si="939"/>
        <v/>
      </c>
      <c r="F1550" s="1">
        <v>0</v>
      </c>
      <c r="G1550" s="1">
        <v>0</v>
      </c>
      <c r="H1550" s="1">
        <v>0.03</v>
      </c>
      <c r="I1550" s="1">
        <v>-0.03</v>
      </c>
      <c r="J1550" s="1">
        <v>4.97</v>
      </c>
      <c r="K1550" s="1">
        <v>0</v>
      </c>
    </row>
    <row r="1551" spans="1:11">
      <c r="A1551" s="1" t="str">
        <f>"20200812"</f>
        <v>20200812</v>
      </c>
      <c r="B1551" s="1" t="str">
        <f>"20200812"</f>
        <v>20200812</v>
      </c>
      <c r="C1551" s="1" t="str">
        <f t="shared" ref="C1551:C1555" si="942">"基金赎回拨入"</f>
        <v>基金赎回拨入</v>
      </c>
      <c r="D1551" s="1" t="str">
        <f t="shared" si="940"/>
        <v>AA0007</v>
      </c>
      <c r="E1551" s="1" t="str">
        <f t="shared" si="941"/>
        <v>银河水星1号集合</v>
      </c>
      <c r="F1551" s="1">
        <v>0</v>
      </c>
      <c r="G1551" s="1">
        <v>0</v>
      </c>
      <c r="H1551" s="1">
        <v>0</v>
      </c>
      <c r="I1551" s="1">
        <v>0.03</v>
      </c>
      <c r="J1551" s="1">
        <v>5</v>
      </c>
      <c r="K1551" s="1">
        <v>0</v>
      </c>
    </row>
    <row r="1552" spans="1:11">
      <c r="A1552" s="1" t="str">
        <f>"20200812"</f>
        <v>20200812</v>
      </c>
      <c r="B1552" s="1" t="str">
        <f>"20200812"</f>
        <v>20200812</v>
      </c>
      <c r="C1552" s="1" t="str">
        <f t="shared" si="938"/>
        <v>港股通组合费</v>
      </c>
      <c r="D1552" s="1" t="str">
        <f>""</f>
        <v/>
      </c>
      <c r="E1552" s="1" t="str">
        <f t="shared" si="939"/>
        <v/>
      </c>
      <c r="F1552" s="1">
        <v>0</v>
      </c>
      <c r="G1552" s="1">
        <v>0</v>
      </c>
      <c r="H1552" s="1">
        <v>0.03</v>
      </c>
      <c r="I1552" s="1">
        <v>-0.03</v>
      </c>
      <c r="J1552" s="1">
        <v>4.97</v>
      </c>
      <c r="K1552" s="1">
        <v>0</v>
      </c>
    </row>
    <row r="1553" spans="1:11">
      <c r="A1553" s="1" t="str">
        <f>"20200813"</f>
        <v>20200813</v>
      </c>
      <c r="B1553" s="1" t="str">
        <f>"20200813"</f>
        <v>20200813</v>
      </c>
      <c r="C1553" s="1" t="str">
        <f t="shared" si="942"/>
        <v>基金赎回拨入</v>
      </c>
      <c r="D1553" s="1" t="str">
        <f t="shared" si="940"/>
        <v>AA0007</v>
      </c>
      <c r="E1553" s="1" t="str">
        <f t="shared" si="941"/>
        <v>银河水星1号集合</v>
      </c>
      <c r="F1553" s="1">
        <v>0</v>
      </c>
      <c r="G1553" s="1">
        <v>0</v>
      </c>
      <c r="H1553" s="1">
        <v>0</v>
      </c>
      <c r="I1553" s="1">
        <v>0.03</v>
      </c>
      <c r="J1553" s="1">
        <v>5</v>
      </c>
      <c r="K1553" s="1">
        <v>0</v>
      </c>
    </row>
    <row r="1554" spans="1:11">
      <c r="A1554" s="1" t="str">
        <f>"20200813"</f>
        <v>20200813</v>
      </c>
      <c r="B1554" s="1" t="str">
        <f>"20200813"</f>
        <v>20200813</v>
      </c>
      <c r="C1554" s="1" t="str">
        <f t="shared" ref="C1554:C1558" si="943">"港股通组合费"</f>
        <v>港股通组合费</v>
      </c>
      <c r="D1554" s="1" t="str">
        <f>""</f>
        <v/>
      </c>
      <c r="E1554" s="1" t="str">
        <f t="shared" ref="E1554:E1558" si="944">""</f>
        <v/>
      </c>
      <c r="F1554" s="1">
        <v>0</v>
      </c>
      <c r="G1554" s="1">
        <v>0</v>
      </c>
      <c r="H1554" s="1">
        <v>0.03</v>
      </c>
      <c r="I1554" s="1">
        <v>-0.03</v>
      </c>
      <c r="J1554" s="1">
        <v>4.97</v>
      </c>
      <c r="K1554" s="1">
        <v>0</v>
      </c>
    </row>
    <row r="1555" spans="1:11">
      <c r="A1555" s="1" t="str">
        <f>"20200814"</f>
        <v>20200814</v>
      </c>
      <c r="B1555" s="1" t="str">
        <f>"20200814"</f>
        <v>20200814</v>
      </c>
      <c r="C1555" s="1" t="str">
        <f t="shared" si="942"/>
        <v>基金赎回拨入</v>
      </c>
      <c r="D1555" s="1" t="str">
        <f t="shared" ref="D1555:D1559" si="945">"AA0007"</f>
        <v>AA0007</v>
      </c>
      <c r="E1555" s="1" t="str">
        <f t="shared" ref="E1555:E1559" si="946">"银河水星1号集合"</f>
        <v>银河水星1号集合</v>
      </c>
      <c r="F1555" s="1">
        <v>0</v>
      </c>
      <c r="G1555" s="1">
        <v>0</v>
      </c>
      <c r="H1555" s="1">
        <v>0</v>
      </c>
      <c r="I1555" s="1">
        <v>0.03</v>
      </c>
      <c r="J1555" s="1">
        <v>5</v>
      </c>
      <c r="K1555" s="1">
        <v>0</v>
      </c>
    </row>
    <row r="1556" spans="1:11">
      <c r="A1556" s="1" t="str">
        <f>"20200814"</f>
        <v>20200814</v>
      </c>
      <c r="B1556" s="1" t="str">
        <f>"20200814"</f>
        <v>20200814</v>
      </c>
      <c r="C1556" s="1" t="str">
        <f t="shared" si="943"/>
        <v>港股通组合费</v>
      </c>
      <c r="D1556" s="1" t="str">
        <f>""</f>
        <v/>
      </c>
      <c r="E1556" s="1" t="str">
        <f t="shared" si="944"/>
        <v/>
      </c>
      <c r="F1556" s="1">
        <v>0</v>
      </c>
      <c r="G1556" s="1">
        <v>0</v>
      </c>
      <c r="H1556" s="1">
        <v>0.03</v>
      </c>
      <c r="I1556" s="1">
        <v>-0.03</v>
      </c>
      <c r="J1556" s="1">
        <v>4.97</v>
      </c>
      <c r="K1556" s="1">
        <v>0</v>
      </c>
    </row>
    <row r="1557" spans="1:11">
      <c r="A1557" s="1" t="str">
        <f>"20200817"</f>
        <v>20200817</v>
      </c>
      <c r="B1557" s="1" t="str">
        <f>"20200817"</f>
        <v>20200817</v>
      </c>
      <c r="C1557" s="1" t="str">
        <f t="shared" ref="C1557:C1561" si="947">"基金赎回拨入"</f>
        <v>基金赎回拨入</v>
      </c>
      <c r="D1557" s="1" t="str">
        <f t="shared" si="945"/>
        <v>AA0007</v>
      </c>
      <c r="E1557" s="1" t="str">
        <f t="shared" si="946"/>
        <v>银河水星1号集合</v>
      </c>
      <c r="F1557" s="1">
        <v>0</v>
      </c>
      <c r="G1557" s="1">
        <v>0</v>
      </c>
      <c r="H1557" s="1">
        <v>0</v>
      </c>
      <c r="I1557" s="1">
        <v>0.03</v>
      </c>
      <c r="J1557" s="1">
        <v>5</v>
      </c>
      <c r="K1557" s="1">
        <v>0</v>
      </c>
    </row>
    <row r="1558" spans="1:11">
      <c r="A1558" s="1" t="str">
        <f>"20200817"</f>
        <v>20200817</v>
      </c>
      <c r="B1558" s="1" t="str">
        <f>"20200817"</f>
        <v>20200817</v>
      </c>
      <c r="C1558" s="1" t="str">
        <f t="shared" si="943"/>
        <v>港股通组合费</v>
      </c>
      <c r="D1558" s="1" t="str">
        <f>""</f>
        <v/>
      </c>
      <c r="E1558" s="1" t="str">
        <f t="shared" si="944"/>
        <v/>
      </c>
      <c r="F1558" s="1">
        <v>0</v>
      </c>
      <c r="G1558" s="1">
        <v>0</v>
      </c>
      <c r="H1558" s="1">
        <v>0.08</v>
      </c>
      <c r="I1558" s="1">
        <v>-0.08</v>
      </c>
      <c r="J1558" s="1">
        <v>4.92</v>
      </c>
      <c r="K1558" s="1">
        <v>0</v>
      </c>
    </row>
    <row r="1559" spans="1:11">
      <c r="A1559" s="1" t="str">
        <f>"20200818"</f>
        <v>20200818</v>
      </c>
      <c r="B1559" s="1" t="str">
        <f>"20200818"</f>
        <v>20200818</v>
      </c>
      <c r="C1559" s="1" t="str">
        <f t="shared" si="947"/>
        <v>基金赎回拨入</v>
      </c>
      <c r="D1559" s="1" t="str">
        <f t="shared" si="945"/>
        <v>AA0007</v>
      </c>
      <c r="E1559" s="1" t="str">
        <f t="shared" si="946"/>
        <v>银河水星1号集合</v>
      </c>
      <c r="F1559" s="1">
        <v>0</v>
      </c>
      <c r="G1559" s="1">
        <v>0</v>
      </c>
      <c r="H1559" s="1">
        <v>0</v>
      </c>
      <c r="I1559" s="1">
        <v>0.08</v>
      </c>
      <c r="J1559" s="1">
        <v>5</v>
      </c>
      <c r="K1559" s="1">
        <v>0</v>
      </c>
    </row>
    <row r="1560" spans="1:11">
      <c r="A1560" s="1" t="str">
        <f>"20200818"</f>
        <v>20200818</v>
      </c>
      <c r="B1560" s="1" t="str">
        <f>"20200818"</f>
        <v>20200818</v>
      </c>
      <c r="C1560" s="1" t="str">
        <f t="shared" ref="C1560:C1564" si="948">"港股通组合费"</f>
        <v>港股通组合费</v>
      </c>
      <c r="D1560" s="1" t="str">
        <f>""</f>
        <v/>
      </c>
      <c r="E1560" s="1" t="str">
        <f t="shared" ref="E1560:E1564" si="949">""</f>
        <v/>
      </c>
      <c r="F1560" s="1">
        <v>0</v>
      </c>
      <c r="G1560" s="1">
        <v>0</v>
      </c>
      <c r="H1560" s="1">
        <v>0.04</v>
      </c>
      <c r="I1560" s="1">
        <v>-0.04</v>
      </c>
      <c r="J1560" s="1">
        <v>4.96</v>
      </c>
      <c r="K1560" s="1">
        <v>0</v>
      </c>
    </row>
    <row r="1561" spans="1:11">
      <c r="A1561" s="1" t="str">
        <f>"20200819"</f>
        <v>20200819</v>
      </c>
      <c r="B1561" s="1" t="str">
        <f>"20200819"</f>
        <v>20200819</v>
      </c>
      <c r="C1561" s="1" t="str">
        <f t="shared" si="947"/>
        <v>基金赎回拨入</v>
      </c>
      <c r="D1561" s="1" t="str">
        <f t="shared" ref="D1561:D1565" si="950">"AA0007"</f>
        <v>AA0007</v>
      </c>
      <c r="E1561" s="1" t="str">
        <f t="shared" ref="E1561:E1565" si="951">"银河水星1号集合"</f>
        <v>银河水星1号集合</v>
      </c>
      <c r="F1561" s="1">
        <v>0</v>
      </c>
      <c r="G1561" s="1">
        <v>0</v>
      </c>
      <c r="H1561" s="1">
        <v>0</v>
      </c>
      <c r="I1561" s="1">
        <v>0.04</v>
      </c>
      <c r="J1561" s="1">
        <v>5</v>
      </c>
      <c r="K1561" s="1">
        <v>0</v>
      </c>
    </row>
    <row r="1562" spans="1:11">
      <c r="A1562" s="1" t="str">
        <f>"20200819"</f>
        <v>20200819</v>
      </c>
      <c r="B1562" s="1" t="str">
        <f>"20200819"</f>
        <v>20200819</v>
      </c>
      <c r="C1562" s="1" t="str">
        <f t="shared" si="948"/>
        <v>港股通组合费</v>
      </c>
      <c r="D1562" s="1" t="str">
        <f>""</f>
        <v/>
      </c>
      <c r="E1562" s="1" t="str">
        <f t="shared" si="949"/>
        <v/>
      </c>
      <c r="F1562" s="1">
        <v>0</v>
      </c>
      <c r="G1562" s="1">
        <v>0</v>
      </c>
      <c r="H1562" s="1">
        <v>0.03</v>
      </c>
      <c r="I1562" s="1">
        <v>-0.03</v>
      </c>
      <c r="J1562" s="1">
        <v>4.97</v>
      </c>
      <c r="K1562" s="1">
        <v>0</v>
      </c>
    </row>
    <row r="1563" spans="1:11">
      <c r="A1563" s="1" t="str">
        <f>"20200820"</f>
        <v>20200820</v>
      </c>
      <c r="B1563" s="1" t="str">
        <f>"20200820"</f>
        <v>20200820</v>
      </c>
      <c r="C1563" s="1" t="str">
        <f>"基金赎回拨入"</f>
        <v>基金赎回拨入</v>
      </c>
      <c r="D1563" s="1" t="str">
        <f t="shared" si="950"/>
        <v>AA0007</v>
      </c>
      <c r="E1563" s="1" t="str">
        <f t="shared" si="951"/>
        <v>银河水星1号集合</v>
      </c>
      <c r="F1563" s="1">
        <v>0</v>
      </c>
      <c r="G1563" s="1">
        <v>12674</v>
      </c>
      <c r="H1563" s="1">
        <v>0</v>
      </c>
      <c r="I1563" s="1">
        <v>12674.29</v>
      </c>
      <c r="J1563" s="1">
        <v>12679.26</v>
      </c>
      <c r="K1563" s="1">
        <v>0</v>
      </c>
    </row>
    <row r="1564" spans="1:11">
      <c r="A1564" s="1" t="str">
        <f>"20200820"</f>
        <v>20200820</v>
      </c>
      <c r="B1564" s="1" t="str">
        <f>"20200820"</f>
        <v>20200820</v>
      </c>
      <c r="C1564" s="1" t="str">
        <f t="shared" si="948"/>
        <v>港股通组合费</v>
      </c>
      <c r="D1564" s="1" t="str">
        <f>""</f>
        <v/>
      </c>
      <c r="E1564" s="1" t="str">
        <f t="shared" si="949"/>
        <v/>
      </c>
      <c r="F1564" s="1">
        <v>0</v>
      </c>
      <c r="G1564" s="1">
        <v>0</v>
      </c>
      <c r="H1564" s="1">
        <v>0.03</v>
      </c>
      <c r="I1564" s="1">
        <v>-0.03</v>
      </c>
      <c r="J1564" s="1">
        <v>12679.23</v>
      </c>
      <c r="K1564" s="1">
        <v>0</v>
      </c>
    </row>
    <row r="1565" spans="1:11">
      <c r="A1565" s="1" t="str">
        <f>"20200821"</f>
        <v>20200821</v>
      </c>
      <c r="B1565" s="1" t="str">
        <f>"20200821"</f>
        <v>20200821</v>
      </c>
      <c r="C1565" s="1" t="str">
        <f>"基金申购拨出"</f>
        <v>基金申购拨出</v>
      </c>
      <c r="D1565" s="1" t="str">
        <f t="shared" si="950"/>
        <v>AA0007</v>
      </c>
      <c r="E1565" s="1" t="str">
        <f t="shared" si="951"/>
        <v>银河水星1号集合</v>
      </c>
      <c r="F1565" s="1">
        <v>0</v>
      </c>
      <c r="G1565" s="1">
        <v>0</v>
      </c>
      <c r="H1565" s="1">
        <v>0</v>
      </c>
      <c r="I1565" s="1">
        <v>-12674.23</v>
      </c>
      <c r="J1565" s="1">
        <v>5</v>
      </c>
      <c r="K1565" s="1">
        <v>0</v>
      </c>
    </row>
    <row r="1566" spans="1:11">
      <c r="A1566" s="1" t="str">
        <f>"20200821"</f>
        <v>20200821</v>
      </c>
      <c r="B1566" s="1" t="str">
        <f>"20200821"</f>
        <v>20200821</v>
      </c>
      <c r="C1566" s="1" t="str">
        <f t="shared" ref="C1566:C1571" si="952">"港股通组合费"</f>
        <v>港股通组合费</v>
      </c>
      <c r="D1566" s="1" t="str">
        <f>""</f>
        <v/>
      </c>
      <c r="E1566" s="1" t="str">
        <f t="shared" ref="E1566:E1571" si="953">""</f>
        <v/>
      </c>
      <c r="F1566" s="1">
        <v>0</v>
      </c>
      <c r="G1566" s="1">
        <v>0</v>
      </c>
      <c r="H1566" s="1">
        <v>0.03</v>
      </c>
      <c r="I1566" s="1">
        <v>-0.03</v>
      </c>
      <c r="J1566" s="1">
        <v>4.97</v>
      </c>
      <c r="K1566" s="1">
        <v>0</v>
      </c>
    </row>
    <row r="1567" spans="1:11">
      <c r="A1567" s="1" t="str">
        <f>"20200824"</f>
        <v>20200824</v>
      </c>
      <c r="B1567" s="1" t="str">
        <f>"20200824"</f>
        <v>20200824</v>
      </c>
      <c r="C1567" s="1" t="str">
        <f t="shared" ref="C1567:C1572" si="954">"基金赎回拨入"</f>
        <v>基金赎回拨入</v>
      </c>
      <c r="D1567" s="1" t="str">
        <f t="shared" ref="D1567:D1572" si="955">"AA0007"</f>
        <v>AA0007</v>
      </c>
      <c r="E1567" s="1" t="str">
        <f t="shared" ref="E1567:E1572" si="956">"银河水星1号集合"</f>
        <v>银河水星1号集合</v>
      </c>
      <c r="F1567" s="1">
        <v>0</v>
      </c>
      <c r="G1567" s="1">
        <v>0</v>
      </c>
      <c r="H1567" s="1">
        <v>0</v>
      </c>
      <c r="I1567" s="1">
        <v>0.03</v>
      </c>
      <c r="J1567" s="1">
        <v>5</v>
      </c>
      <c r="K1567" s="1">
        <v>0</v>
      </c>
    </row>
    <row r="1568" spans="1:11">
      <c r="A1568" s="1" t="str">
        <f>"20200824"</f>
        <v>20200824</v>
      </c>
      <c r="B1568" s="1" t="str">
        <f>"20200824"</f>
        <v>20200824</v>
      </c>
      <c r="C1568" s="1" t="str">
        <f t="shared" si="952"/>
        <v>港股通组合费</v>
      </c>
      <c r="D1568" s="1" t="str">
        <f>""</f>
        <v/>
      </c>
      <c r="E1568" s="1" t="str">
        <f t="shared" si="953"/>
        <v/>
      </c>
      <c r="F1568" s="1">
        <v>0</v>
      </c>
      <c r="G1568" s="1">
        <v>0</v>
      </c>
      <c r="H1568" s="1">
        <v>0.08</v>
      </c>
      <c r="I1568" s="1">
        <v>-0.08</v>
      </c>
      <c r="J1568" s="1">
        <v>4.92</v>
      </c>
      <c r="K1568" s="1">
        <v>0</v>
      </c>
    </row>
    <row r="1569" spans="1:11">
      <c r="A1569" s="1" t="str">
        <f t="shared" ref="A1569:A1571" si="957">"20200825"</f>
        <v>20200825</v>
      </c>
      <c r="B1569" s="1" t="str">
        <f t="shared" ref="B1569:B1571" si="958">"20200825"</f>
        <v>20200825</v>
      </c>
      <c r="C1569" s="1" t="str">
        <f t="shared" si="954"/>
        <v>基金赎回拨入</v>
      </c>
      <c r="D1569" s="1" t="str">
        <f t="shared" si="955"/>
        <v>AA0007</v>
      </c>
      <c r="E1569" s="1" t="str">
        <f t="shared" si="956"/>
        <v>银河水星1号集合</v>
      </c>
      <c r="F1569" s="1">
        <v>0</v>
      </c>
      <c r="G1569" s="1">
        <v>12653</v>
      </c>
      <c r="H1569" s="1">
        <v>0</v>
      </c>
      <c r="I1569" s="1">
        <v>12653.08</v>
      </c>
      <c r="J1569" s="1">
        <v>12658</v>
      </c>
      <c r="K1569" s="1">
        <v>0</v>
      </c>
    </row>
    <row r="1570" spans="1:11">
      <c r="A1570" s="1" t="str">
        <f t="shared" si="957"/>
        <v>20200825</v>
      </c>
      <c r="B1570" s="1" t="str">
        <f t="shared" si="958"/>
        <v>20200825</v>
      </c>
      <c r="C1570" s="1" t="str">
        <f>"证券买入"</f>
        <v>证券买入</v>
      </c>
      <c r="D1570" s="1" t="str">
        <f>"000601"</f>
        <v>000601</v>
      </c>
      <c r="E1570" s="1" t="str">
        <f>"韶能股份"</f>
        <v>韶能股份</v>
      </c>
      <c r="F1570" s="1">
        <v>7.44</v>
      </c>
      <c r="G1570" s="1">
        <v>1700</v>
      </c>
      <c r="H1570" s="1">
        <v>12648</v>
      </c>
      <c r="I1570" s="1">
        <v>-12653</v>
      </c>
      <c r="J1570" s="1">
        <v>5</v>
      </c>
      <c r="K1570" s="1">
        <v>1700</v>
      </c>
    </row>
    <row r="1571" spans="1:11">
      <c r="A1571" s="1" t="str">
        <f t="shared" si="957"/>
        <v>20200825</v>
      </c>
      <c r="B1571" s="1" t="str">
        <f t="shared" si="958"/>
        <v>20200825</v>
      </c>
      <c r="C1571" s="1" t="str">
        <f t="shared" si="952"/>
        <v>港股通组合费</v>
      </c>
      <c r="D1571" s="1" t="str">
        <f>""</f>
        <v/>
      </c>
      <c r="E1571" s="1" t="str">
        <f t="shared" si="953"/>
        <v/>
      </c>
      <c r="F1571" s="1">
        <v>0</v>
      </c>
      <c r="G1571" s="1">
        <v>0</v>
      </c>
      <c r="H1571" s="1">
        <v>0.03</v>
      </c>
      <c r="I1571" s="1">
        <v>-0.03</v>
      </c>
      <c r="J1571" s="1">
        <v>4.97</v>
      </c>
      <c r="K1571" s="1">
        <v>0</v>
      </c>
    </row>
    <row r="1572" spans="1:11">
      <c r="A1572" s="1" t="str">
        <f>"20200826"</f>
        <v>20200826</v>
      </c>
      <c r="B1572" s="1" t="str">
        <f>"20200826"</f>
        <v>20200826</v>
      </c>
      <c r="C1572" s="1" t="str">
        <f t="shared" si="954"/>
        <v>基金赎回拨入</v>
      </c>
      <c r="D1572" s="1" t="str">
        <f t="shared" si="955"/>
        <v>AA0007</v>
      </c>
      <c r="E1572" s="1" t="str">
        <f t="shared" si="956"/>
        <v>银河水星1号集合</v>
      </c>
      <c r="F1572" s="1">
        <v>0</v>
      </c>
      <c r="G1572" s="1">
        <v>0</v>
      </c>
      <c r="H1572" s="1">
        <v>0</v>
      </c>
      <c r="I1572" s="1">
        <v>0.03</v>
      </c>
      <c r="J1572" s="1">
        <v>5</v>
      </c>
      <c r="K1572" s="1">
        <v>0</v>
      </c>
    </row>
    <row r="1573" spans="1:11">
      <c r="A1573" s="1" t="str">
        <f>"20200826"</f>
        <v>20200826</v>
      </c>
      <c r="B1573" s="1" t="str">
        <f>"20200826"</f>
        <v>20200826</v>
      </c>
      <c r="C1573" s="1" t="str">
        <f t="shared" ref="C1573:C1579" si="959">"港股通组合费"</f>
        <v>港股通组合费</v>
      </c>
      <c r="D1573" s="1" t="str">
        <f>""</f>
        <v/>
      </c>
      <c r="E1573" s="1" t="str">
        <f t="shared" ref="E1573:E1579" si="960">""</f>
        <v/>
      </c>
      <c r="F1573" s="1">
        <v>0</v>
      </c>
      <c r="G1573" s="1">
        <v>0</v>
      </c>
      <c r="H1573" s="1">
        <v>0.03</v>
      </c>
      <c r="I1573" s="1">
        <v>-0.03</v>
      </c>
      <c r="J1573" s="1">
        <v>4.97</v>
      </c>
      <c r="K1573" s="1">
        <v>0</v>
      </c>
    </row>
    <row r="1574" spans="1:11">
      <c r="A1574" s="1" t="str">
        <f t="shared" ref="A1574:A1576" si="961">"20200827"</f>
        <v>20200827</v>
      </c>
      <c r="B1574" s="1" t="str">
        <f t="shared" ref="B1574:B1576" si="962">"20200827"</f>
        <v>20200827</v>
      </c>
      <c r="C1574" s="1" t="str">
        <f>"基金赎回拨入"</f>
        <v>基金赎回拨入</v>
      </c>
      <c r="D1574" s="1" t="str">
        <f>"AA0007"</f>
        <v>AA0007</v>
      </c>
      <c r="E1574" s="1" t="str">
        <f>"银河水星1号集合"</f>
        <v>银河水星1号集合</v>
      </c>
      <c r="F1574" s="1">
        <v>0</v>
      </c>
      <c r="G1574" s="1">
        <v>0</v>
      </c>
      <c r="H1574" s="1">
        <v>0</v>
      </c>
      <c r="I1574" s="1">
        <v>0.03</v>
      </c>
      <c r="J1574" s="1">
        <v>5</v>
      </c>
      <c r="K1574" s="1">
        <v>0</v>
      </c>
    </row>
    <row r="1575" spans="1:11">
      <c r="A1575" s="1" t="str">
        <f t="shared" si="961"/>
        <v>20200827</v>
      </c>
      <c r="B1575" s="1" t="str">
        <f t="shared" si="962"/>
        <v>20200827</v>
      </c>
      <c r="C1575" s="1" t="str">
        <f>"红利入账"</f>
        <v>红利入账</v>
      </c>
      <c r="D1575" s="1" t="str">
        <f>"000601"</f>
        <v>000601</v>
      </c>
      <c r="E1575" s="1" t="str">
        <f>"韶能股份"</f>
        <v>韶能股份</v>
      </c>
      <c r="F1575" s="1">
        <v>0</v>
      </c>
      <c r="G1575" s="1">
        <v>0</v>
      </c>
      <c r="H1575" s="1">
        <v>425</v>
      </c>
      <c r="I1575" s="1">
        <v>425</v>
      </c>
      <c r="J1575" s="1">
        <v>430</v>
      </c>
      <c r="K1575" s="1">
        <v>0</v>
      </c>
    </row>
    <row r="1576" spans="1:11">
      <c r="A1576" s="1" t="str">
        <f t="shared" si="961"/>
        <v>20200827</v>
      </c>
      <c r="B1576" s="1" t="str">
        <f t="shared" si="962"/>
        <v>20200827</v>
      </c>
      <c r="C1576" s="1" t="str">
        <f t="shared" si="959"/>
        <v>港股通组合费</v>
      </c>
      <c r="D1576" s="1" t="str">
        <f>""</f>
        <v/>
      </c>
      <c r="E1576" s="1" t="str">
        <f t="shared" si="960"/>
        <v/>
      </c>
      <c r="F1576" s="1">
        <v>0</v>
      </c>
      <c r="G1576" s="1">
        <v>0</v>
      </c>
      <c r="H1576" s="1">
        <v>0.03</v>
      </c>
      <c r="I1576" s="1">
        <v>-0.03</v>
      </c>
      <c r="J1576" s="1">
        <v>429.97</v>
      </c>
      <c r="K1576" s="1">
        <v>0</v>
      </c>
    </row>
    <row r="1577" spans="1:11">
      <c r="A1577" s="1" t="str">
        <f>"20200828"</f>
        <v>20200828</v>
      </c>
      <c r="B1577" s="1" t="str">
        <f>"20200828"</f>
        <v>20200828</v>
      </c>
      <c r="C1577" s="1" t="str">
        <f t="shared" si="959"/>
        <v>港股通组合费</v>
      </c>
      <c r="D1577" s="1" t="str">
        <f>""</f>
        <v/>
      </c>
      <c r="E1577" s="1" t="str">
        <f t="shared" si="960"/>
        <v/>
      </c>
      <c r="F1577" s="1">
        <v>0</v>
      </c>
      <c r="G1577" s="1">
        <v>0</v>
      </c>
      <c r="H1577" s="1">
        <v>0.03</v>
      </c>
      <c r="I1577" s="1">
        <v>-0.03</v>
      </c>
      <c r="J1577" s="1">
        <v>429.94</v>
      </c>
      <c r="K1577" s="1">
        <v>0</v>
      </c>
    </row>
    <row r="1578" spans="1:11">
      <c r="A1578" s="1" t="str">
        <f>"20200831"</f>
        <v>20200831</v>
      </c>
      <c r="B1578" s="1" t="str">
        <f>"20200831"</f>
        <v>20200831</v>
      </c>
      <c r="C1578" s="1" t="str">
        <f t="shared" si="959"/>
        <v>港股通组合费</v>
      </c>
      <c r="D1578" s="1" t="str">
        <f>""</f>
        <v/>
      </c>
      <c r="E1578" s="1" t="str">
        <f t="shared" si="960"/>
        <v/>
      </c>
      <c r="F1578" s="1">
        <v>0</v>
      </c>
      <c r="G1578" s="1">
        <v>0</v>
      </c>
      <c r="H1578" s="1">
        <v>0.08</v>
      </c>
      <c r="I1578" s="1">
        <v>-0.08</v>
      </c>
      <c r="J1578" s="1">
        <v>429.86</v>
      </c>
      <c r="K1578" s="1">
        <v>0</v>
      </c>
    </row>
    <row r="1579" spans="1:11">
      <c r="A1579" s="1" t="str">
        <f>"20200901"</f>
        <v>20200901</v>
      </c>
      <c r="B1579" s="1" t="str">
        <f>"20200901"</f>
        <v>20200901</v>
      </c>
      <c r="C1579" s="1" t="str">
        <f t="shared" si="959"/>
        <v>港股通组合费</v>
      </c>
      <c r="D1579" s="1" t="str">
        <f>""</f>
        <v/>
      </c>
      <c r="E1579" s="1" t="str">
        <f t="shared" si="960"/>
        <v/>
      </c>
      <c r="F1579" s="1">
        <v>0</v>
      </c>
      <c r="G1579" s="1">
        <v>0</v>
      </c>
      <c r="H1579" s="1">
        <v>0.03</v>
      </c>
      <c r="I1579" s="1">
        <v>-0.03</v>
      </c>
      <c r="J1579" s="1">
        <v>429.83</v>
      </c>
      <c r="K1579" s="1">
        <v>0</v>
      </c>
    </row>
    <row r="1580" spans="1:11">
      <c r="A1580" s="1" t="str">
        <f t="shared" ref="A1580:A1582" si="963">"20200902"</f>
        <v>20200902</v>
      </c>
      <c r="B1580" s="1" t="str">
        <f t="shared" ref="B1580:B1582" si="964">"20200902"</f>
        <v>20200902</v>
      </c>
      <c r="C1580" s="1" t="str">
        <f>"银行转证券"</f>
        <v>银行转证券</v>
      </c>
      <c r="D1580" s="1"/>
      <c r="E1580" s="1"/>
      <c r="F1580" s="1">
        <v>0</v>
      </c>
      <c r="G1580" s="1">
        <v>0</v>
      </c>
      <c r="H1580" s="1">
        <v>0</v>
      </c>
      <c r="I1580" s="1">
        <v>20000</v>
      </c>
      <c r="J1580" s="1">
        <v>20429.83</v>
      </c>
      <c r="K1580" s="1">
        <v>0</v>
      </c>
    </row>
    <row r="1581" spans="1:11">
      <c r="A1581" s="1" t="str">
        <f t="shared" si="963"/>
        <v>20200902</v>
      </c>
      <c r="B1581" s="1" t="str">
        <f t="shared" si="964"/>
        <v>20200902</v>
      </c>
      <c r="C1581" s="1" t="str">
        <f>"基金申购拨出"</f>
        <v>基金申购拨出</v>
      </c>
      <c r="D1581" s="1" t="str">
        <f>"AA0007"</f>
        <v>AA0007</v>
      </c>
      <c r="E1581" s="1" t="str">
        <f>"银河水星1号集合"</f>
        <v>银河水星1号集合</v>
      </c>
      <c r="F1581" s="1">
        <v>0</v>
      </c>
      <c r="G1581" s="1">
        <v>0</v>
      </c>
      <c r="H1581" s="1">
        <v>0</v>
      </c>
      <c r="I1581" s="1">
        <v>-1452.34</v>
      </c>
      <c r="J1581" s="1">
        <v>18977.49</v>
      </c>
      <c r="K1581" s="1">
        <v>0</v>
      </c>
    </row>
    <row r="1582" spans="1:11">
      <c r="A1582" s="1" t="str">
        <f t="shared" si="963"/>
        <v>20200902</v>
      </c>
      <c r="B1582" s="1" t="str">
        <f t="shared" si="964"/>
        <v>20200902</v>
      </c>
      <c r="C1582" s="1" t="str">
        <f t="shared" ref="C1582:C1594" si="965">"港股通组合费"</f>
        <v>港股通组合费</v>
      </c>
      <c r="D1582" s="1" t="str">
        <f>""</f>
        <v/>
      </c>
      <c r="E1582" s="1" t="str">
        <f t="shared" ref="E1582:E1594" si="966">""</f>
        <v/>
      </c>
      <c r="F1582" s="1">
        <v>0</v>
      </c>
      <c r="G1582" s="1">
        <v>0</v>
      </c>
      <c r="H1582" s="1">
        <v>0.03</v>
      </c>
      <c r="I1582" s="1">
        <v>-0.03</v>
      </c>
      <c r="J1582" s="1">
        <v>18977.46</v>
      </c>
      <c r="K1582" s="1">
        <v>0</v>
      </c>
    </row>
    <row r="1583" spans="1:11">
      <c r="A1583" s="1" t="str">
        <f>"20200903"</f>
        <v>20200903</v>
      </c>
      <c r="B1583" s="1" t="str">
        <f>"20200903"</f>
        <v>20200903</v>
      </c>
      <c r="C1583" s="1" t="str">
        <f t="shared" si="965"/>
        <v>港股通组合费</v>
      </c>
      <c r="D1583" s="1" t="str">
        <f>""</f>
        <v/>
      </c>
      <c r="E1583" s="1" t="str">
        <f t="shared" si="966"/>
        <v/>
      </c>
      <c r="F1583" s="1">
        <v>0</v>
      </c>
      <c r="G1583" s="1">
        <v>0</v>
      </c>
      <c r="H1583" s="1">
        <v>0.03</v>
      </c>
      <c r="I1583" s="1">
        <v>-0.03</v>
      </c>
      <c r="J1583" s="1">
        <v>18977.43</v>
      </c>
      <c r="K1583" s="1">
        <v>0</v>
      </c>
    </row>
    <row r="1584" spans="1:11">
      <c r="A1584" s="1" t="str">
        <f>"20200904"</f>
        <v>20200904</v>
      </c>
      <c r="B1584" s="1" t="str">
        <f>"20200902"</f>
        <v>20200902</v>
      </c>
      <c r="C1584" s="1" t="str">
        <f>"港股通股票买入"</f>
        <v>港股通股票买入</v>
      </c>
      <c r="D1584" s="1" t="str">
        <f>"00386"</f>
        <v>00386</v>
      </c>
      <c r="E1584" s="1" t="str">
        <f>"中国石油"</f>
        <v>中国石油</v>
      </c>
      <c r="F1584" s="1">
        <v>3.06</v>
      </c>
      <c r="G1584" s="1">
        <v>6000</v>
      </c>
      <c r="H1584" s="1">
        <v>18390.06</v>
      </c>
      <c r="I1584" s="1">
        <v>-18421.37</v>
      </c>
      <c r="J1584" s="1">
        <v>556.06</v>
      </c>
      <c r="K1584" s="1">
        <v>44000</v>
      </c>
    </row>
    <row r="1585" spans="1:11">
      <c r="A1585" s="1" t="str">
        <f>"20200904"</f>
        <v>20200904</v>
      </c>
      <c r="B1585" s="1" t="str">
        <f>"20200904"</f>
        <v>20200904</v>
      </c>
      <c r="C1585" s="1" t="str">
        <f t="shared" si="965"/>
        <v>港股通组合费</v>
      </c>
      <c r="D1585" s="1" t="str">
        <f t="shared" ref="D1585:D1594" si="967">""</f>
        <v/>
      </c>
      <c r="E1585" s="1" t="str">
        <f t="shared" si="966"/>
        <v/>
      </c>
      <c r="F1585" s="1">
        <v>0</v>
      </c>
      <c r="G1585" s="1">
        <v>0</v>
      </c>
      <c r="H1585" s="1">
        <v>0.03</v>
      </c>
      <c r="I1585" s="1">
        <v>-0.03</v>
      </c>
      <c r="J1585" s="1">
        <v>556.03</v>
      </c>
      <c r="K1585" s="1">
        <v>0</v>
      </c>
    </row>
    <row r="1586" spans="1:11">
      <c r="A1586" s="1" t="str">
        <f>"20200907"</f>
        <v>20200907</v>
      </c>
      <c r="B1586" s="1" t="str">
        <f>"20200907"</f>
        <v>20200907</v>
      </c>
      <c r="C1586" s="1" t="str">
        <f t="shared" si="965"/>
        <v>港股通组合费</v>
      </c>
      <c r="D1586" s="1" t="str">
        <f t="shared" si="967"/>
        <v/>
      </c>
      <c r="E1586" s="1" t="str">
        <f t="shared" si="966"/>
        <v/>
      </c>
      <c r="F1586" s="1">
        <v>0</v>
      </c>
      <c r="G1586" s="1">
        <v>0</v>
      </c>
      <c r="H1586" s="1">
        <v>0.11</v>
      </c>
      <c r="I1586" s="1">
        <v>-0.11</v>
      </c>
      <c r="J1586" s="1">
        <v>555.92</v>
      </c>
      <c r="K1586" s="1">
        <v>0</v>
      </c>
    </row>
    <row r="1587" spans="1:11">
      <c r="A1587" s="1" t="str">
        <f>"20200908"</f>
        <v>20200908</v>
      </c>
      <c r="B1587" s="1" t="str">
        <f>"20200908"</f>
        <v>20200908</v>
      </c>
      <c r="C1587" s="1" t="str">
        <f t="shared" si="965"/>
        <v>港股通组合费</v>
      </c>
      <c r="D1587" s="1" t="str">
        <f t="shared" si="967"/>
        <v/>
      </c>
      <c r="E1587" s="1" t="str">
        <f t="shared" si="966"/>
        <v/>
      </c>
      <c r="F1587" s="1">
        <v>0</v>
      </c>
      <c r="G1587" s="1">
        <v>0</v>
      </c>
      <c r="H1587" s="1">
        <v>0.04</v>
      </c>
      <c r="I1587" s="1">
        <v>-0.04</v>
      </c>
      <c r="J1587" s="1">
        <v>555.88</v>
      </c>
      <c r="K1587" s="1">
        <v>0</v>
      </c>
    </row>
    <row r="1588" spans="1:11">
      <c r="A1588" s="1" t="str">
        <f>"20200909"</f>
        <v>20200909</v>
      </c>
      <c r="B1588" s="1" t="str">
        <f>"20200909"</f>
        <v>20200909</v>
      </c>
      <c r="C1588" s="1" t="str">
        <f t="shared" si="965"/>
        <v>港股通组合费</v>
      </c>
      <c r="D1588" s="1" t="str">
        <f t="shared" si="967"/>
        <v/>
      </c>
      <c r="E1588" s="1" t="str">
        <f t="shared" si="966"/>
        <v/>
      </c>
      <c r="F1588" s="1">
        <v>0</v>
      </c>
      <c r="G1588" s="1">
        <v>0</v>
      </c>
      <c r="H1588" s="1">
        <v>0.04</v>
      </c>
      <c r="I1588" s="1">
        <v>-0.04</v>
      </c>
      <c r="J1588" s="1">
        <v>555.84</v>
      </c>
      <c r="K1588" s="1">
        <v>0</v>
      </c>
    </row>
    <row r="1589" spans="1:11">
      <c r="A1589" s="1" t="str">
        <f>"20200910"</f>
        <v>20200910</v>
      </c>
      <c r="B1589" s="1" t="str">
        <f>"20200910"</f>
        <v>20200910</v>
      </c>
      <c r="C1589" s="1" t="str">
        <f t="shared" si="965"/>
        <v>港股通组合费</v>
      </c>
      <c r="D1589" s="1" t="str">
        <f t="shared" si="967"/>
        <v/>
      </c>
      <c r="E1589" s="1" t="str">
        <f t="shared" si="966"/>
        <v/>
      </c>
      <c r="F1589" s="1">
        <v>0</v>
      </c>
      <c r="G1589" s="1">
        <v>0</v>
      </c>
      <c r="H1589" s="1">
        <v>0.04</v>
      </c>
      <c r="I1589" s="1">
        <v>-0.04</v>
      </c>
      <c r="J1589" s="1">
        <v>555.8</v>
      </c>
      <c r="K1589" s="1">
        <v>0</v>
      </c>
    </row>
    <row r="1590" spans="1:11">
      <c r="A1590" s="1" t="str">
        <f>"20200911"</f>
        <v>20200911</v>
      </c>
      <c r="B1590" s="1" t="str">
        <f>"20200911"</f>
        <v>20200911</v>
      </c>
      <c r="C1590" s="1" t="str">
        <f t="shared" si="965"/>
        <v>港股通组合费</v>
      </c>
      <c r="D1590" s="1" t="str">
        <f t="shared" si="967"/>
        <v/>
      </c>
      <c r="E1590" s="1" t="str">
        <f t="shared" si="966"/>
        <v/>
      </c>
      <c r="F1590" s="1">
        <v>0</v>
      </c>
      <c r="G1590" s="1">
        <v>0</v>
      </c>
      <c r="H1590" s="1">
        <v>0.04</v>
      </c>
      <c r="I1590" s="1">
        <v>-0.04</v>
      </c>
      <c r="J1590" s="1">
        <v>555.76</v>
      </c>
      <c r="K1590" s="1">
        <v>0</v>
      </c>
    </row>
    <row r="1591" spans="1:11">
      <c r="A1591" s="1" t="str">
        <f>"20200914"</f>
        <v>20200914</v>
      </c>
      <c r="B1591" s="1" t="str">
        <f>"20200914"</f>
        <v>20200914</v>
      </c>
      <c r="C1591" s="1" t="str">
        <f t="shared" si="965"/>
        <v>港股通组合费</v>
      </c>
      <c r="D1591" s="1" t="str">
        <f t="shared" si="967"/>
        <v/>
      </c>
      <c r="E1591" s="1" t="str">
        <f t="shared" si="966"/>
        <v/>
      </c>
      <c r="F1591" s="1">
        <v>0</v>
      </c>
      <c r="G1591" s="1">
        <v>0</v>
      </c>
      <c r="H1591" s="1">
        <v>0.11</v>
      </c>
      <c r="I1591" s="1">
        <v>-0.11</v>
      </c>
      <c r="J1591" s="1">
        <v>555.65</v>
      </c>
      <c r="K1591" s="1">
        <v>0</v>
      </c>
    </row>
    <row r="1592" spans="1:11">
      <c r="A1592" s="1" t="str">
        <f>"20200915"</f>
        <v>20200915</v>
      </c>
      <c r="B1592" s="1" t="str">
        <f>"20200915"</f>
        <v>20200915</v>
      </c>
      <c r="C1592" s="1" t="str">
        <f t="shared" si="965"/>
        <v>港股通组合费</v>
      </c>
      <c r="D1592" s="1" t="str">
        <f t="shared" si="967"/>
        <v/>
      </c>
      <c r="E1592" s="1" t="str">
        <f t="shared" si="966"/>
        <v/>
      </c>
      <c r="F1592" s="1">
        <v>0</v>
      </c>
      <c r="G1592" s="1">
        <v>0</v>
      </c>
      <c r="H1592" s="1">
        <v>0.04</v>
      </c>
      <c r="I1592" s="1">
        <v>-0.04</v>
      </c>
      <c r="J1592" s="1">
        <v>555.61</v>
      </c>
      <c r="K1592" s="1">
        <v>0</v>
      </c>
    </row>
    <row r="1593" spans="1:11">
      <c r="A1593" s="1" t="str">
        <f>"20200916"</f>
        <v>20200916</v>
      </c>
      <c r="B1593" s="1" t="str">
        <f>"20200916"</f>
        <v>20200916</v>
      </c>
      <c r="C1593" s="1" t="str">
        <f t="shared" si="965"/>
        <v>港股通组合费</v>
      </c>
      <c r="D1593" s="1" t="str">
        <f t="shared" si="967"/>
        <v/>
      </c>
      <c r="E1593" s="1" t="str">
        <f t="shared" si="966"/>
        <v/>
      </c>
      <c r="F1593" s="1">
        <v>0</v>
      </c>
      <c r="G1593" s="1">
        <v>0</v>
      </c>
      <c r="H1593" s="1">
        <v>0.03</v>
      </c>
      <c r="I1593" s="1">
        <v>-0.03</v>
      </c>
      <c r="J1593" s="1">
        <v>555.58</v>
      </c>
      <c r="K1593" s="1">
        <v>0</v>
      </c>
    </row>
    <row r="1594" spans="1:11">
      <c r="A1594" s="1" t="str">
        <f>"20200917"</f>
        <v>20200917</v>
      </c>
      <c r="B1594" s="1" t="str">
        <f>"20200917"</f>
        <v>20200917</v>
      </c>
      <c r="C1594" s="1" t="str">
        <f t="shared" si="965"/>
        <v>港股通组合费</v>
      </c>
      <c r="D1594" s="1" t="str">
        <f t="shared" si="967"/>
        <v/>
      </c>
      <c r="E1594" s="1" t="str">
        <f t="shared" si="966"/>
        <v/>
      </c>
      <c r="F1594" s="1">
        <v>0</v>
      </c>
      <c r="G1594" s="1">
        <v>0</v>
      </c>
      <c r="H1594" s="1">
        <v>0.03</v>
      </c>
      <c r="I1594" s="1">
        <v>-0.03</v>
      </c>
      <c r="J1594" s="1">
        <v>555.55</v>
      </c>
      <c r="K1594" s="1">
        <v>0</v>
      </c>
    </row>
    <row r="1595" spans="1:11">
      <c r="A1595" s="1" t="str">
        <f>"20200918"</f>
        <v>20200918</v>
      </c>
      <c r="B1595" s="1" t="str">
        <f>"20200918"</f>
        <v>20200918</v>
      </c>
      <c r="C1595" s="1" t="str">
        <f>"利息归本"</f>
        <v>利息归本</v>
      </c>
      <c r="D1595" s="1"/>
      <c r="E1595" s="1"/>
      <c r="F1595" s="1">
        <v>0</v>
      </c>
      <c r="G1595" s="1">
        <v>0</v>
      </c>
      <c r="H1595" s="1">
        <v>0</v>
      </c>
      <c r="I1595" s="1">
        <v>2.83</v>
      </c>
      <c r="J1595" s="1">
        <v>558.38</v>
      </c>
      <c r="K1595" s="1">
        <v>0</v>
      </c>
    </row>
    <row r="1596" spans="1:11">
      <c r="A1596" s="1" t="str">
        <f>"20200918"</f>
        <v>20200918</v>
      </c>
      <c r="B1596" s="1" t="str">
        <f>"20200918"</f>
        <v>20200918</v>
      </c>
      <c r="C1596" s="1" t="str">
        <f t="shared" ref="C1596:C1599" si="968">"港股通组合费"</f>
        <v>港股通组合费</v>
      </c>
      <c r="D1596" s="1" t="str">
        <f>""</f>
        <v/>
      </c>
      <c r="E1596" s="1" t="str">
        <f t="shared" ref="E1596:E1599" si="969">""</f>
        <v/>
      </c>
      <c r="F1596" s="1">
        <v>0</v>
      </c>
      <c r="G1596" s="1">
        <v>0</v>
      </c>
      <c r="H1596" s="1">
        <v>0.03</v>
      </c>
      <c r="I1596" s="1">
        <v>-0.03</v>
      </c>
      <c r="J1596" s="1">
        <v>558.35</v>
      </c>
      <c r="K1596" s="1">
        <v>0</v>
      </c>
    </row>
    <row r="1597" spans="1:11">
      <c r="A1597" s="1" t="str">
        <f>"20200921"</f>
        <v>20200921</v>
      </c>
      <c r="B1597" s="1" t="str">
        <f>"20200921"</f>
        <v>20200921</v>
      </c>
      <c r="C1597" s="1" t="str">
        <f t="shared" si="968"/>
        <v>港股通组合费</v>
      </c>
      <c r="D1597" s="1" t="str">
        <f>""</f>
        <v/>
      </c>
      <c r="E1597" s="1" t="str">
        <f t="shared" si="969"/>
        <v/>
      </c>
      <c r="F1597" s="1">
        <v>0</v>
      </c>
      <c r="G1597" s="1">
        <v>0</v>
      </c>
      <c r="H1597" s="1">
        <v>0.1</v>
      </c>
      <c r="I1597" s="1">
        <v>-0.1</v>
      </c>
      <c r="J1597" s="1">
        <v>558.25</v>
      </c>
      <c r="K1597" s="1">
        <v>0</v>
      </c>
    </row>
    <row r="1598" spans="1:11">
      <c r="A1598" s="1" t="str">
        <f>"20200922"</f>
        <v>20200922</v>
      </c>
      <c r="B1598" s="1" t="str">
        <f>"0"</f>
        <v>0</v>
      </c>
      <c r="C1598" s="1" t="str">
        <f>"基金红利拨入"</f>
        <v>基金红利拨入</v>
      </c>
      <c r="D1598" s="1" t="str">
        <f>"AA0007"</f>
        <v>AA0007</v>
      </c>
      <c r="E1598" s="1" t="str">
        <f>"银河水星1号集合"</f>
        <v>银河水星1号集合</v>
      </c>
      <c r="F1598" s="1">
        <v>0</v>
      </c>
      <c r="G1598" s="1">
        <v>0</v>
      </c>
      <c r="H1598" s="1">
        <v>29.46</v>
      </c>
      <c r="I1598" s="1">
        <v>29.46</v>
      </c>
      <c r="J1598" s="1">
        <v>587.71</v>
      </c>
      <c r="K1598" s="1">
        <v>0</v>
      </c>
    </row>
    <row r="1599" spans="1:11">
      <c r="A1599" s="1" t="str">
        <f>"20200922"</f>
        <v>20200922</v>
      </c>
      <c r="B1599" s="1" t="str">
        <f>"20200922"</f>
        <v>20200922</v>
      </c>
      <c r="C1599" s="1" t="str">
        <f t="shared" si="968"/>
        <v>港股通组合费</v>
      </c>
      <c r="D1599" s="1" t="str">
        <f>""</f>
        <v/>
      </c>
      <c r="E1599" s="1" t="str">
        <f t="shared" si="969"/>
        <v/>
      </c>
      <c r="F1599" s="1">
        <v>0</v>
      </c>
      <c r="G1599" s="1">
        <v>0</v>
      </c>
      <c r="H1599" s="1">
        <v>0.03</v>
      </c>
      <c r="I1599" s="1">
        <v>-0.03</v>
      </c>
      <c r="J1599" s="1">
        <v>587.68</v>
      </c>
      <c r="K1599" s="1">
        <v>0</v>
      </c>
    </row>
    <row r="1600" spans="1:11">
      <c r="A1600" s="1" t="str">
        <f t="shared" ref="A1600:A1602" si="970">"20200923"</f>
        <v>20200923</v>
      </c>
      <c r="B1600" s="1" t="str">
        <f t="shared" ref="B1600:B1602" si="971">"20200923"</f>
        <v>20200923</v>
      </c>
      <c r="C1600" s="1" t="str">
        <f>"银行转证券"</f>
        <v>银行转证券</v>
      </c>
      <c r="D1600" s="1"/>
      <c r="E1600" s="1"/>
      <c r="F1600" s="1">
        <v>0</v>
      </c>
      <c r="G1600" s="1">
        <v>0</v>
      </c>
      <c r="H1600" s="1">
        <v>0</v>
      </c>
      <c r="I1600" s="1">
        <v>30000</v>
      </c>
      <c r="J1600" s="1">
        <v>30587.68</v>
      </c>
      <c r="K1600" s="1">
        <v>0</v>
      </c>
    </row>
    <row r="1601" spans="1:11">
      <c r="A1601" s="1" t="str">
        <f t="shared" si="970"/>
        <v>20200923</v>
      </c>
      <c r="B1601" s="1" t="str">
        <f t="shared" si="971"/>
        <v>20200923</v>
      </c>
      <c r="C1601" s="1" t="str">
        <f>"基金申购拨出"</f>
        <v>基金申购拨出</v>
      </c>
      <c r="D1601" s="1" t="str">
        <f>"AA0007"</f>
        <v>AA0007</v>
      </c>
      <c r="E1601" s="1" t="str">
        <f>"银河水星1号集合"</f>
        <v>银河水星1号集合</v>
      </c>
      <c r="F1601" s="1">
        <v>0</v>
      </c>
      <c r="G1601" s="1">
        <v>0</v>
      </c>
      <c r="H1601" s="1">
        <v>0</v>
      </c>
      <c r="I1601" s="1">
        <v>-1845.04</v>
      </c>
      <c r="J1601" s="1">
        <v>28742.64</v>
      </c>
      <c r="K1601" s="1">
        <v>0</v>
      </c>
    </row>
    <row r="1602" spans="1:11">
      <c r="A1602" s="4" t="str">
        <f t="shared" si="970"/>
        <v>20200923</v>
      </c>
      <c r="B1602" s="4" t="str">
        <f t="shared" si="971"/>
        <v>20200923</v>
      </c>
      <c r="C1602" s="4" t="str">
        <f t="shared" ref="C1602:C1612" si="972">"港股通组合费"</f>
        <v>港股通组合费</v>
      </c>
      <c r="D1602" s="1" t="str">
        <f>""</f>
        <v/>
      </c>
      <c r="E1602" s="4" t="str">
        <f t="shared" ref="E1602:E1612" si="973">""</f>
        <v/>
      </c>
      <c r="F1602" s="4">
        <v>0</v>
      </c>
      <c r="G1602" s="4">
        <v>0</v>
      </c>
      <c r="H1602" s="4">
        <v>0.04</v>
      </c>
      <c r="I1602" s="4">
        <v>-0.04</v>
      </c>
      <c r="J1602" s="4">
        <v>28742.6</v>
      </c>
      <c r="K1602" s="4">
        <v>0</v>
      </c>
    </row>
    <row r="1603" spans="1:11">
      <c r="A1603" s="4" t="str">
        <f>"20200924"</f>
        <v>20200924</v>
      </c>
      <c r="B1603" s="4" t="str">
        <f>"20200924"</f>
        <v>20200924</v>
      </c>
      <c r="C1603" s="4" t="str">
        <f t="shared" si="972"/>
        <v>港股通组合费</v>
      </c>
      <c r="D1603" s="1" t="str">
        <f>""</f>
        <v/>
      </c>
      <c r="E1603" s="4" t="str">
        <f t="shared" si="973"/>
        <v/>
      </c>
      <c r="F1603" s="4">
        <v>0</v>
      </c>
      <c r="G1603" s="4">
        <v>0</v>
      </c>
      <c r="H1603" s="4">
        <v>0.04</v>
      </c>
      <c r="I1603" s="4">
        <v>-0.04</v>
      </c>
      <c r="J1603" s="4">
        <v>28742.56</v>
      </c>
      <c r="K1603" s="4">
        <v>0</v>
      </c>
    </row>
    <row r="1604" spans="1:11">
      <c r="A1604" s="4" t="str">
        <f>"20200925"</f>
        <v>20200925</v>
      </c>
      <c r="B1604" s="4" t="str">
        <f>"20200923"</f>
        <v>20200923</v>
      </c>
      <c r="C1604" s="4" t="str">
        <f>"港股通股票买入"</f>
        <v>港股通股票买入</v>
      </c>
      <c r="D1604" s="4" t="str">
        <f>"00386"</f>
        <v>00386</v>
      </c>
      <c r="E1604" s="4" t="str">
        <f>"中国石油"</f>
        <v>中国石油</v>
      </c>
      <c r="F1604" s="4">
        <v>2.79</v>
      </c>
      <c r="G1604" s="4">
        <v>10000</v>
      </c>
      <c r="H1604" s="4">
        <v>27855.53</v>
      </c>
      <c r="I1604" s="4">
        <v>-27901.82</v>
      </c>
      <c r="J1604" s="4">
        <v>840.74</v>
      </c>
      <c r="K1604" s="4">
        <v>54000</v>
      </c>
    </row>
    <row r="1605" spans="1:11">
      <c r="A1605" s="4" t="str">
        <f>"20200925"</f>
        <v>20200925</v>
      </c>
      <c r="B1605" s="4" t="str">
        <f>"20200925"</f>
        <v>20200925</v>
      </c>
      <c r="C1605" s="4" t="str">
        <f t="shared" si="972"/>
        <v>港股通组合费</v>
      </c>
      <c r="D1605" s="1" t="str">
        <f t="shared" ref="D1605:D1612" si="974">""</f>
        <v/>
      </c>
      <c r="E1605" s="4" t="str">
        <f t="shared" si="973"/>
        <v/>
      </c>
      <c r="F1605" s="4">
        <v>0</v>
      </c>
      <c r="G1605" s="4">
        <v>0</v>
      </c>
      <c r="H1605" s="4">
        <v>0.03</v>
      </c>
      <c r="I1605" s="4">
        <v>-0.03</v>
      </c>
      <c r="J1605" s="4">
        <v>840.71</v>
      </c>
      <c r="K1605" s="4">
        <v>0</v>
      </c>
    </row>
    <row r="1606" spans="1:11">
      <c r="A1606" s="4" t="str">
        <f>"20200928"</f>
        <v>20200928</v>
      </c>
      <c r="B1606" s="4" t="str">
        <f>"20200928"</f>
        <v>20200928</v>
      </c>
      <c r="C1606" s="4" t="str">
        <f t="shared" si="972"/>
        <v>港股通组合费</v>
      </c>
      <c r="D1606" s="1" t="str">
        <f t="shared" si="974"/>
        <v/>
      </c>
      <c r="E1606" s="4" t="str">
        <f t="shared" si="973"/>
        <v/>
      </c>
      <c r="F1606" s="4">
        <v>0</v>
      </c>
      <c r="G1606" s="4">
        <v>0</v>
      </c>
      <c r="H1606" s="4">
        <v>0.11</v>
      </c>
      <c r="I1606" s="4">
        <v>-0.11</v>
      </c>
      <c r="J1606" s="4">
        <v>840.6</v>
      </c>
      <c r="K1606" s="4">
        <v>0</v>
      </c>
    </row>
    <row r="1607" spans="1:11">
      <c r="A1607" s="4" t="str">
        <f>"20200929"</f>
        <v>20200929</v>
      </c>
      <c r="B1607" s="4" t="str">
        <f>"20200929"</f>
        <v>20200929</v>
      </c>
      <c r="C1607" s="4" t="str">
        <f t="shared" si="972"/>
        <v>港股通组合费</v>
      </c>
      <c r="D1607" s="1" t="str">
        <f t="shared" si="974"/>
        <v/>
      </c>
      <c r="E1607" s="4" t="str">
        <f t="shared" si="973"/>
        <v/>
      </c>
      <c r="F1607" s="4">
        <v>0</v>
      </c>
      <c r="G1607" s="4">
        <v>0</v>
      </c>
      <c r="H1607" s="4">
        <v>0.04</v>
      </c>
      <c r="I1607" s="4">
        <v>-0.04</v>
      </c>
      <c r="J1607" s="4">
        <v>840.56</v>
      </c>
      <c r="K1607" s="4">
        <v>0</v>
      </c>
    </row>
    <row r="1608" spans="1:11">
      <c r="A1608" s="4" t="str">
        <f>"20200930"</f>
        <v>20200930</v>
      </c>
      <c r="B1608" s="4" t="str">
        <f>"20200930"</f>
        <v>20200930</v>
      </c>
      <c r="C1608" s="4" t="str">
        <f t="shared" si="972"/>
        <v>港股通组合费</v>
      </c>
      <c r="D1608" s="1" t="str">
        <f t="shared" si="974"/>
        <v/>
      </c>
      <c r="E1608" s="4" t="str">
        <f t="shared" si="973"/>
        <v/>
      </c>
      <c r="F1608" s="4">
        <v>0</v>
      </c>
      <c r="G1608" s="4">
        <v>0</v>
      </c>
      <c r="H1608" s="4">
        <v>0.04</v>
      </c>
      <c r="I1608" s="4">
        <v>-0.04</v>
      </c>
      <c r="J1608" s="4">
        <v>840.52</v>
      </c>
      <c r="K1608" s="4">
        <v>0</v>
      </c>
    </row>
    <row r="1609" spans="1:11">
      <c r="A1609" s="4" t="str">
        <f>"20201009"</f>
        <v>20201009</v>
      </c>
      <c r="B1609" s="4" t="str">
        <f>"20201009"</f>
        <v>20201009</v>
      </c>
      <c r="C1609" s="4" t="str">
        <f t="shared" si="972"/>
        <v>港股通组合费</v>
      </c>
      <c r="D1609" s="4" t="str">
        <f t="shared" si="974"/>
        <v/>
      </c>
      <c r="E1609" s="4" t="str">
        <f t="shared" si="973"/>
        <v/>
      </c>
      <c r="F1609" s="4">
        <v>0</v>
      </c>
      <c r="G1609" s="4">
        <v>0</v>
      </c>
      <c r="H1609" s="4">
        <v>0.31</v>
      </c>
      <c r="I1609" s="4">
        <v>-0.31</v>
      </c>
      <c r="J1609" s="4">
        <v>840.21</v>
      </c>
      <c r="K1609" s="4">
        <v>0</v>
      </c>
    </row>
    <row r="1610" spans="1:11">
      <c r="A1610" s="4" t="str">
        <f>"20201012"</f>
        <v>20201012</v>
      </c>
      <c r="B1610" s="4" t="str">
        <f>"20201012"</f>
        <v>20201012</v>
      </c>
      <c r="C1610" s="4" t="str">
        <f t="shared" si="972"/>
        <v>港股通组合费</v>
      </c>
      <c r="D1610" s="4" t="str">
        <f t="shared" si="974"/>
        <v/>
      </c>
      <c r="E1610" s="4" t="str">
        <f t="shared" si="973"/>
        <v/>
      </c>
      <c r="F1610" s="4">
        <v>0</v>
      </c>
      <c r="G1610" s="4">
        <v>0</v>
      </c>
      <c r="H1610" s="4">
        <v>0.1</v>
      </c>
      <c r="I1610" s="4">
        <v>-0.1</v>
      </c>
      <c r="J1610" s="4">
        <v>840.11</v>
      </c>
      <c r="K1610" s="4">
        <v>0</v>
      </c>
    </row>
    <row r="1611" spans="1:11">
      <c r="A1611" s="4" t="str">
        <f>"20201013"</f>
        <v>20201013</v>
      </c>
      <c r="B1611" s="4" t="str">
        <f>"20201013"</f>
        <v>20201013</v>
      </c>
      <c r="C1611" s="4" t="str">
        <f t="shared" si="972"/>
        <v>港股通组合费</v>
      </c>
      <c r="D1611" s="4" t="str">
        <f t="shared" si="974"/>
        <v/>
      </c>
      <c r="E1611" s="4" t="str">
        <f t="shared" si="973"/>
        <v/>
      </c>
      <c r="F1611" s="4">
        <v>0</v>
      </c>
      <c r="G1611" s="4">
        <v>0</v>
      </c>
      <c r="H1611" s="4">
        <v>0.03</v>
      </c>
      <c r="I1611" s="4">
        <v>-0.03</v>
      </c>
      <c r="J1611" s="4">
        <v>840.08</v>
      </c>
      <c r="K1611" s="4">
        <v>0</v>
      </c>
    </row>
    <row r="1612" spans="1:11">
      <c r="A1612" s="4" t="str">
        <f t="shared" ref="A1612:A1614" si="975">"20201014"</f>
        <v>20201014</v>
      </c>
      <c r="B1612" s="4" t="str">
        <f t="shared" ref="B1612:B1614" si="976">"20201014"</f>
        <v>20201014</v>
      </c>
      <c r="C1612" s="4" t="str">
        <f t="shared" si="972"/>
        <v>港股通组合费</v>
      </c>
      <c r="D1612" s="4" t="str">
        <f t="shared" si="974"/>
        <v/>
      </c>
      <c r="E1612" s="4" t="str">
        <f t="shared" si="973"/>
        <v/>
      </c>
      <c r="F1612" s="4">
        <v>0</v>
      </c>
      <c r="G1612" s="4">
        <v>0</v>
      </c>
      <c r="H1612" s="4">
        <v>0.03</v>
      </c>
      <c r="I1612" s="4">
        <v>-0.03</v>
      </c>
      <c r="J1612" s="4">
        <v>27246.47</v>
      </c>
      <c r="K1612" s="4">
        <v>0</v>
      </c>
    </row>
    <row r="1613" spans="1:11">
      <c r="A1613" s="1" t="str">
        <f t="shared" si="975"/>
        <v>20201014</v>
      </c>
      <c r="B1613" s="1" t="str">
        <f t="shared" si="976"/>
        <v>20201014</v>
      </c>
      <c r="C1613" s="1" t="str">
        <f>"银行转证券"</f>
        <v>银行转证券</v>
      </c>
      <c r="D1613" s="1"/>
      <c r="E1613" s="1"/>
      <c r="F1613" s="1">
        <v>0</v>
      </c>
      <c r="G1613" s="1">
        <v>0</v>
      </c>
      <c r="H1613" s="1">
        <v>0</v>
      </c>
      <c r="I1613" s="1">
        <v>28000</v>
      </c>
      <c r="J1613" s="1">
        <v>28840.08</v>
      </c>
      <c r="K1613" s="1">
        <v>0</v>
      </c>
    </row>
    <row r="1614" spans="1:11">
      <c r="A1614" s="1" t="str">
        <f t="shared" si="975"/>
        <v>20201014</v>
      </c>
      <c r="B1614" s="1" t="str">
        <f t="shared" si="976"/>
        <v>20201014</v>
      </c>
      <c r="C1614" s="1" t="str">
        <f>"基金申购拨出"</f>
        <v>基金申购拨出</v>
      </c>
      <c r="D1614" s="1" t="str">
        <f>"AA0007"</f>
        <v>AA0007</v>
      </c>
      <c r="E1614" s="1" t="str">
        <f>"银河水星1号集合"</f>
        <v>银河水星1号集合</v>
      </c>
      <c r="F1614" s="1">
        <v>0</v>
      </c>
      <c r="G1614" s="1">
        <v>0</v>
      </c>
      <c r="H1614" s="1">
        <v>0</v>
      </c>
      <c r="I1614" s="1">
        <v>-1593.58</v>
      </c>
      <c r="J1614" s="1">
        <v>27246.5</v>
      </c>
      <c r="K1614" s="1">
        <v>0</v>
      </c>
    </row>
    <row r="1615" spans="1:11">
      <c r="A1615" s="1" t="str">
        <f>"20201015"</f>
        <v>20201015</v>
      </c>
      <c r="B1615" s="1" t="str">
        <f>"20201015"</f>
        <v>20201015</v>
      </c>
      <c r="C1615" s="1" t="str">
        <f t="shared" ref="C1615:C1618" si="977">"港股通组合费"</f>
        <v>港股通组合费</v>
      </c>
      <c r="D1615" s="1" t="str">
        <f t="shared" ref="D1615:D1618" si="978">""</f>
        <v/>
      </c>
      <c r="E1615" s="1" t="str">
        <f t="shared" ref="E1615:E1618" si="979">""</f>
        <v/>
      </c>
      <c r="F1615" s="1">
        <v>0</v>
      </c>
      <c r="G1615" s="1">
        <v>0</v>
      </c>
      <c r="H1615" s="1">
        <v>0.03</v>
      </c>
      <c r="I1615" s="1">
        <v>-0.03</v>
      </c>
      <c r="J1615" s="1">
        <v>27246.44</v>
      </c>
      <c r="K1615" s="1">
        <v>0</v>
      </c>
    </row>
    <row r="1616" spans="1:11">
      <c r="A1616" s="1" t="str">
        <f>"20201016"</f>
        <v>20201016</v>
      </c>
      <c r="B1616" s="1" t="str">
        <f>"20201014"</f>
        <v>20201014</v>
      </c>
      <c r="C1616" s="1" t="str">
        <f>"港股通股票买入"</f>
        <v>港股通股票买入</v>
      </c>
      <c r="D1616" s="1" t="str">
        <f>"00386"</f>
        <v>00386</v>
      </c>
      <c r="E1616" s="1" t="str">
        <f>"中国石油"</f>
        <v>中国石油</v>
      </c>
      <c r="F1616" s="1">
        <v>2.64</v>
      </c>
      <c r="G1616" s="1">
        <v>10000</v>
      </c>
      <c r="H1616" s="1">
        <v>26408.48</v>
      </c>
      <c r="I1616" s="1">
        <v>-26452.81</v>
      </c>
      <c r="J1616" s="1">
        <v>793.63</v>
      </c>
      <c r="K1616" s="1">
        <v>64000</v>
      </c>
    </row>
    <row r="1617" spans="1:11">
      <c r="A1617" s="1" t="str">
        <f>"20201016"</f>
        <v>20201016</v>
      </c>
      <c r="B1617" s="1" t="str">
        <f>"20201016"</f>
        <v>20201016</v>
      </c>
      <c r="C1617" s="1" t="str">
        <f t="shared" si="977"/>
        <v>港股通组合费</v>
      </c>
      <c r="D1617" s="1" t="str">
        <f t="shared" si="978"/>
        <v/>
      </c>
      <c r="E1617" s="1" t="str">
        <f t="shared" si="979"/>
        <v/>
      </c>
      <c r="F1617" s="1">
        <v>0</v>
      </c>
      <c r="G1617" s="1">
        <v>0</v>
      </c>
      <c r="H1617" s="1">
        <v>0.03</v>
      </c>
      <c r="I1617" s="1">
        <v>-0.03</v>
      </c>
      <c r="J1617" s="1">
        <v>793.6</v>
      </c>
      <c r="K1617" s="1">
        <v>0</v>
      </c>
    </row>
    <row r="1618" spans="1:11">
      <c r="A1618" s="1" t="str">
        <f t="shared" ref="A1618:A1621" si="980">"20201019"</f>
        <v>20201019</v>
      </c>
      <c r="B1618" s="1" t="str">
        <f t="shared" ref="B1618:B1620" si="981">"20201019"</f>
        <v>20201019</v>
      </c>
      <c r="C1618" s="1" t="str">
        <f t="shared" si="977"/>
        <v>港股通组合费</v>
      </c>
      <c r="D1618" s="1" t="str">
        <f t="shared" si="978"/>
        <v/>
      </c>
      <c r="E1618" s="1" t="str">
        <f t="shared" si="979"/>
        <v/>
      </c>
      <c r="F1618" s="1">
        <v>0</v>
      </c>
      <c r="G1618" s="1">
        <v>0</v>
      </c>
      <c r="H1618" s="1">
        <v>0.13</v>
      </c>
      <c r="I1618" s="1">
        <v>-0.13</v>
      </c>
      <c r="J1618" s="1">
        <v>4.87</v>
      </c>
      <c r="K1618" s="1">
        <v>0</v>
      </c>
    </row>
    <row r="1619" spans="1:11">
      <c r="A1619" s="1" t="str">
        <f t="shared" si="980"/>
        <v>20201019</v>
      </c>
      <c r="B1619" s="1" t="str">
        <f t="shared" si="981"/>
        <v>20201019</v>
      </c>
      <c r="C1619" s="1" t="str">
        <f>"银行转证券"</f>
        <v>银行转证券</v>
      </c>
      <c r="D1619" s="1"/>
      <c r="E1619" s="1"/>
      <c r="F1619" s="1">
        <v>0</v>
      </c>
      <c r="G1619" s="1">
        <v>0</v>
      </c>
      <c r="H1619" s="1">
        <v>0</v>
      </c>
      <c r="I1619" s="1">
        <v>3002.17</v>
      </c>
      <c r="J1619" s="1">
        <v>3795.77</v>
      </c>
      <c r="K1619" s="1">
        <v>0</v>
      </c>
    </row>
    <row r="1620" spans="1:11">
      <c r="A1620" s="1" t="str">
        <f t="shared" si="980"/>
        <v>20201019</v>
      </c>
      <c r="B1620" s="1" t="str">
        <f t="shared" si="981"/>
        <v>20201019</v>
      </c>
      <c r="C1620" s="1" t="str">
        <f>"基金赎回拨入"</f>
        <v>基金赎回拨入</v>
      </c>
      <c r="D1620" s="1" t="str">
        <f>"AA0007"</f>
        <v>AA0007</v>
      </c>
      <c r="E1620" s="1" t="str">
        <f>"银河水星1号集合"</f>
        <v>银河水星1号集合</v>
      </c>
      <c r="F1620" s="1">
        <v>0</v>
      </c>
      <c r="G1620" s="1">
        <v>704</v>
      </c>
      <c r="H1620" s="1">
        <v>0</v>
      </c>
      <c r="I1620" s="1">
        <v>704.23</v>
      </c>
      <c r="J1620" s="1">
        <v>4500</v>
      </c>
      <c r="K1620" s="1">
        <v>0</v>
      </c>
    </row>
    <row r="1621" spans="1:11">
      <c r="A1621" s="1" t="str">
        <f t="shared" si="980"/>
        <v>20201019</v>
      </c>
      <c r="B1621" s="1" t="str">
        <f>"20201015"</f>
        <v>20201015</v>
      </c>
      <c r="C1621" s="1" t="str">
        <f>"配售缴款"</f>
        <v>配售缴款</v>
      </c>
      <c r="D1621" s="1" t="str">
        <f>"003016"</f>
        <v>003016</v>
      </c>
      <c r="E1621" s="1" t="str">
        <f>"欣贺股份"</f>
        <v>欣贺股份</v>
      </c>
      <c r="F1621" s="1">
        <v>8.99</v>
      </c>
      <c r="G1621" s="1">
        <v>500</v>
      </c>
      <c r="H1621" s="1">
        <v>4495</v>
      </c>
      <c r="I1621" s="1">
        <v>-4495</v>
      </c>
      <c r="J1621" s="1">
        <v>5</v>
      </c>
      <c r="K1621" s="1">
        <v>0</v>
      </c>
    </row>
    <row r="1622" spans="1:11">
      <c r="A1622" s="1" t="str">
        <f t="shared" ref="A1622:A1624" si="982">"20201020"</f>
        <v>20201020</v>
      </c>
      <c r="B1622" s="1" t="str">
        <f>"20201020"</f>
        <v>20201020</v>
      </c>
      <c r="C1622" s="1" t="str">
        <f>"港股通组合费"</f>
        <v>港股通组合费</v>
      </c>
      <c r="D1622" s="1" t="str">
        <f>""</f>
        <v/>
      </c>
      <c r="E1622" s="1" t="str">
        <f>""</f>
        <v/>
      </c>
      <c r="F1622" s="1">
        <v>0</v>
      </c>
      <c r="G1622" s="1">
        <v>0</v>
      </c>
      <c r="H1622" s="1">
        <v>0.04</v>
      </c>
      <c r="I1622" s="1">
        <v>-0.04</v>
      </c>
      <c r="J1622" s="1">
        <v>4.96</v>
      </c>
      <c r="K1622" s="1">
        <v>0</v>
      </c>
    </row>
    <row r="1623" spans="1:11">
      <c r="A1623" s="1" t="str">
        <f t="shared" si="982"/>
        <v>20201020</v>
      </c>
      <c r="B1623" s="1" t="str">
        <f>"20201020"</f>
        <v>20201020</v>
      </c>
      <c r="C1623" s="1" t="str">
        <f>"基金赎回拨入"</f>
        <v>基金赎回拨入</v>
      </c>
      <c r="D1623" s="1" t="str">
        <f>"AA0007"</f>
        <v>AA0007</v>
      </c>
      <c r="E1623" s="1" t="str">
        <f>"银河水星1号集合"</f>
        <v>银河水星1号集合</v>
      </c>
      <c r="F1623" s="1">
        <v>0</v>
      </c>
      <c r="G1623" s="1">
        <v>0</v>
      </c>
      <c r="H1623" s="1">
        <v>0</v>
      </c>
      <c r="I1623" s="1">
        <v>0.13</v>
      </c>
      <c r="J1623" s="1">
        <v>5</v>
      </c>
      <c r="K1623" s="1">
        <v>0</v>
      </c>
    </row>
    <row r="1624" spans="1:11">
      <c r="A1624" s="1" t="str">
        <f t="shared" si="982"/>
        <v>20201020</v>
      </c>
      <c r="B1624" s="1" t="str">
        <f t="shared" ref="B1624:B1628" si="983">"20201015"</f>
        <v>20201015</v>
      </c>
      <c r="C1624" s="1" t="str">
        <f>"配售股份"</f>
        <v>配售股份</v>
      </c>
      <c r="D1624" s="1" t="str">
        <f t="shared" ref="D1624:D1628" si="984">"003016"</f>
        <v>003016</v>
      </c>
      <c r="E1624" s="1" t="str">
        <f t="shared" ref="E1624:E1628" si="985">"欣贺股份"</f>
        <v>欣贺股份</v>
      </c>
      <c r="F1624" s="1">
        <v>8.99</v>
      </c>
      <c r="G1624" s="1">
        <v>500</v>
      </c>
      <c r="H1624" s="1">
        <v>4495</v>
      </c>
      <c r="I1624" s="1">
        <v>0</v>
      </c>
      <c r="J1624" s="1">
        <v>5</v>
      </c>
      <c r="K1624" s="1">
        <v>500</v>
      </c>
    </row>
    <row r="1625" spans="1:11">
      <c r="A1625" s="1" t="str">
        <f t="shared" ref="A1625:A1628" si="986">"20201021"</f>
        <v>20201021</v>
      </c>
      <c r="B1625" s="1" t="str">
        <f>"20201021"</f>
        <v>20201021</v>
      </c>
      <c r="C1625" s="1" t="str">
        <f>"港股通组合费"</f>
        <v>港股通组合费</v>
      </c>
      <c r="D1625" s="1" t="str">
        <f>""</f>
        <v/>
      </c>
      <c r="E1625" s="1" t="str">
        <f>""</f>
        <v/>
      </c>
      <c r="F1625" s="1">
        <v>0</v>
      </c>
      <c r="G1625" s="1">
        <v>0</v>
      </c>
      <c r="H1625" s="1">
        <v>0.04</v>
      </c>
      <c r="I1625" s="1">
        <v>-0.04</v>
      </c>
      <c r="J1625" s="1">
        <v>4.96</v>
      </c>
      <c r="K1625" s="1">
        <v>0</v>
      </c>
    </row>
    <row r="1626" spans="1:11">
      <c r="A1626" s="1" t="str">
        <f t="shared" si="986"/>
        <v>20201021</v>
      </c>
      <c r="B1626" s="1" t="str">
        <f>"20201021"</f>
        <v>20201021</v>
      </c>
      <c r="C1626" s="1" t="str">
        <f>"基金赎回拨入"</f>
        <v>基金赎回拨入</v>
      </c>
      <c r="D1626" s="1" t="str">
        <f>"AA0007"</f>
        <v>AA0007</v>
      </c>
      <c r="E1626" s="1" t="str">
        <f>"银河水星1号集合"</f>
        <v>银河水星1号集合</v>
      </c>
      <c r="F1626" s="1">
        <v>0</v>
      </c>
      <c r="G1626" s="1">
        <v>0</v>
      </c>
      <c r="H1626" s="1">
        <v>0</v>
      </c>
      <c r="I1626" s="1">
        <v>0.04</v>
      </c>
      <c r="J1626" s="1">
        <v>5</v>
      </c>
      <c r="K1626" s="1">
        <v>0</v>
      </c>
    </row>
    <row r="1627" spans="1:11">
      <c r="A1627" s="1" t="str">
        <f t="shared" si="986"/>
        <v>20201021</v>
      </c>
      <c r="B1627" s="1" t="str">
        <f t="shared" si="983"/>
        <v>20201015</v>
      </c>
      <c r="C1627" s="1" t="str">
        <f>"中签股份下账"</f>
        <v>中签股份下账</v>
      </c>
      <c r="D1627" s="1" t="str">
        <f t="shared" si="984"/>
        <v>003016</v>
      </c>
      <c r="E1627" s="1" t="str">
        <f t="shared" si="985"/>
        <v>欣贺股份</v>
      </c>
      <c r="F1627" s="1">
        <v>8.99</v>
      </c>
      <c r="G1627" s="1">
        <v>500</v>
      </c>
      <c r="H1627" s="1">
        <v>4495</v>
      </c>
      <c r="I1627" s="1">
        <v>0</v>
      </c>
      <c r="J1627" s="1">
        <v>5</v>
      </c>
      <c r="K1627" s="1">
        <v>0</v>
      </c>
    </row>
    <row r="1628" spans="1:11">
      <c r="A1628" s="1" t="str">
        <f t="shared" si="986"/>
        <v>20201021</v>
      </c>
      <c r="B1628" s="1" t="str">
        <f t="shared" si="983"/>
        <v>20201015</v>
      </c>
      <c r="C1628" s="1" t="str">
        <f>"新股入帐"</f>
        <v>新股入帐</v>
      </c>
      <c r="D1628" s="1" t="str">
        <f t="shared" si="984"/>
        <v>003016</v>
      </c>
      <c r="E1628" s="1" t="str">
        <f t="shared" si="985"/>
        <v>欣贺股份</v>
      </c>
      <c r="F1628" s="1">
        <v>8.99</v>
      </c>
      <c r="G1628" s="1">
        <v>500</v>
      </c>
      <c r="H1628" s="1">
        <v>0</v>
      </c>
      <c r="I1628" s="1">
        <v>0</v>
      </c>
      <c r="J1628" s="1">
        <v>5</v>
      </c>
      <c r="K1628" s="1">
        <v>500</v>
      </c>
    </row>
    <row r="1629" spans="1:11">
      <c r="A1629" s="1" t="str">
        <f>"20201022"</f>
        <v>20201022</v>
      </c>
      <c r="B1629" s="1" t="str">
        <f>"20201022"</f>
        <v>20201022</v>
      </c>
      <c r="C1629" s="1" t="str">
        <f t="shared" ref="C1629:C1635" si="987">"港股通组合费"</f>
        <v>港股通组合费</v>
      </c>
      <c r="D1629" s="1" t="str">
        <f t="shared" ref="D1629:D1635" si="988">""</f>
        <v/>
      </c>
      <c r="E1629" s="1" t="str">
        <f t="shared" ref="E1629:E1635" si="989">""</f>
        <v/>
      </c>
      <c r="F1629" s="1">
        <v>0</v>
      </c>
      <c r="G1629" s="1">
        <v>0</v>
      </c>
      <c r="H1629" s="1">
        <v>0.04</v>
      </c>
      <c r="I1629" s="1">
        <v>-0.04</v>
      </c>
      <c r="J1629" s="1">
        <v>4.96</v>
      </c>
      <c r="K1629" s="1">
        <v>0</v>
      </c>
    </row>
    <row r="1630" spans="1:11">
      <c r="A1630" s="1" t="str">
        <f>"20201022"</f>
        <v>20201022</v>
      </c>
      <c r="B1630" s="1" t="str">
        <f>"20201022"</f>
        <v>20201022</v>
      </c>
      <c r="C1630" s="1" t="str">
        <f t="shared" ref="C1630:C1633" si="990">"基金赎回拨入"</f>
        <v>基金赎回拨入</v>
      </c>
      <c r="D1630" s="1" t="str">
        <f t="shared" ref="D1630:D1633" si="991">"AA0007"</f>
        <v>AA0007</v>
      </c>
      <c r="E1630" s="1" t="str">
        <f t="shared" ref="E1630:E1633" si="992">"银河水星1号集合"</f>
        <v>银河水星1号集合</v>
      </c>
      <c r="F1630" s="1">
        <v>0</v>
      </c>
      <c r="G1630" s="1">
        <v>0</v>
      </c>
      <c r="H1630" s="1">
        <v>0</v>
      </c>
      <c r="I1630" s="1">
        <v>0.04</v>
      </c>
      <c r="J1630" s="1">
        <v>5</v>
      </c>
      <c r="K1630" s="1">
        <v>0</v>
      </c>
    </row>
    <row r="1631" spans="1:11">
      <c r="A1631" s="1" t="str">
        <f>"20201023"</f>
        <v>20201023</v>
      </c>
      <c r="B1631" s="1" t="str">
        <f>"20201023"</f>
        <v>20201023</v>
      </c>
      <c r="C1631" s="1" t="str">
        <f t="shared" si="987"/>
        <v>港股通组合费</v>
      </c>
      <c r="D1631" s="1" t="str">
        <f t="shared" si="988"/>
        <v/>
      </c>
      <c r="E1631" s="1" t="str">
        <f t="shared" si="989"/>
        <v/>
      </c>
      <c r="F1631" s="1">
        <v>0</v>
      </c>
      <c r="G1631" s="1">
        <v>0</v>
      </c>
      <c r="H1631" s="1">
        <v>0.04</v>
      </c>
      <c r="I1631" s="1">
        <v>-0.04</v>
      </c>
      <c r="J1631" s="1">
        <v>4.96</v>
      </c>
      <c r="K1631" s="1">
        <v>0</v>
      </c>
    </row>
    <row r="1632" spans="1:11">
      <c r="A1632" s="1" t="str">
        <f>"20201023"</f>
        <v>20201023</v>
      </c>
      <c r="B1632" s="1" t="str">
        <f>"20201023"</f>
        <v>20201023</v>
      </c>
      <c r="C1632" s="1" t="str">
        <f t="shared" si="990"/>
        <v>基金赎回拨入</v>
      </c>
      <c r="D1632" s="1" t="str">
        <f t="shared" si="991"/>
        <v>AA0007</v>
      </c>
      <c r="E1632" s="1" t="str">
        <f t="shared" si="992"/>
        <v>银河水星1号集合</v>
      </c>
      <c r="F1632" s="1">
        <v>0</v>
      </c>
      <c r="G1632" s="1">
        <v>0</v>
      </c>
      <c r="H1632" s="1">
        <v>0</v>
      </c>
      <c r="I1632" s="1">
        <v>0.04</v>
      </c>
      <c r="J1632" s="1">
        <v>5</v>
      </c>
      <c r="K1632" s="1">
        <v>0</v>
      </c>
    </row>
    <row r="1633" spans="1:11">
      <c r="A1633" s="1" t="str">
        <f>"20201026"</f>
        <v>20201026</v>
      </c>
      <c r="B1633" s="1" t="str">
        <f>"20201026"</f>
        <v>20201026</v>
      </c>
      <c r="C1633" s="1" t="str">
        <f t="shared" si="990"/>
        <v>基金赎回拨入</v>
      </c>
      <c r="D1633" s="1" t="str">
        <f t="shared" si="991"/>
        <v>AA0007</v>
      </c>
      <c r="E1633" s="1" t="str">
        <f t="shared" si="992"/>
        <v>银河水星1号集合</v>
      </c>
      <c r="F1633" s="1">
        <v>0</v>
      </c>
      <c r="G1633" s="1">
        <v>0</v>
      </c>
      <c r="H1633" s="1">
        <v>0</v>
      </c>
      <c r="I1633" s="1">
        <v>0.04</v>
      </c>
      <c r="J1633" s="1">
        <v>5</v>
      </c>
      <c r="K1633" s="1">
        <v>0</v>
      </c>
    </row>
    <row r="1634" spans="1:11">
      <c r="A1634" s="1" t="str">
        <f>"20201027"</f>
        <v>20201027</v>
      </c>
      <c r="B1634" s="1" t="str">
        <f>"20201027"</f>
        <v>20201027</v>
      </c>
      <c r="C1634" s="1" t="str">
        <f t="shared" si="987"/>
        <v>港股通组合费</v>
      </c>
      <c r="D1634" s="1" t="str">
        <f t="shared" si="988"/>
        <v/>
      </c>
      <c r="E1634" s="1" t="str">
        <f t="shared" si="989"/>
        <v/>
      </c>
      <c r="F1634" s="1">
        <v>0</v>
      </c>
      <c r="G1634" s="1">
        <v>0</v>
      </c>
      <c r="H1634" s="1">
        <v>0.17</v>
      </c>
      <c r="I1634" s="1">
        <v>-0.17</v>
      </c>
      <c r="J1634" s="1">
        <v>4.83</v>
      </c>
      <c r="K1634" s="1">
        <v>0</v>
      </c>
    </row>
    <row r="1635" spans="1:11">
      <c r="A1635" s="1" t="str">
        <f>"20201028"</f>
        <v>20201028</v>
      </c>
      <c r="B1635" s="1" t="str">
        <f>"20201028"</f>
        <v>20201028</v>
      </c>
      <c r="C1635" s="1" t="str">
        <f t="shared" si="987"/>
        <v>港股通组合费</v>
      </c>
      <c r="D1635" s="1" t="str">
        <f t="shared" si="988"/>
        <v/>
      </c>
      <c r="E1635" s="1" t="str">
        <f t="shared" si="989"/>
        <v/>
      </c>
      <c r="F1635" s="1">
        <v>0</v>
      </c>
      <c r="G1635" s="1">
        <v>0</v>
      </c>
      <c r="H1635" s="1">
        <v>0.04</v>
      </c>
      <c r="I1635" s="1">
        <v>-0.04</v>
      </c>
      <c r="J1635" s="1">
        <v>4.96</v>
      </c>
      <c r="K1635" s="1">
        <v>0</v>
      </c>
    </row>
    <row r="1636" spans="1:11">
      <c r="A1636" s="1" t="str">
        <f>"20201028"</f>
        <v>20201028</v>
      </c>
      <c r="B1636" s="1" t="str">
        <f>"20201028"</f>
        <v>20201028</v>
      </c>
      <c r="C1636" s="1" t="str">
        <f t="shared" ref="C1636:C1640" si="993">"基金赎回拨入"</f>
        <v>基金赎回拨入</v>
      </c>
      <c r="D1636" s="1" t="str">
        <f t="shared" ref="D1636:D1640" si="994">"AA0007"</f>
        <v>AA0007</v>
      </c>
      <c r="E1636" s="1" t="str">
        <f t="shared" ref="E1636:E1640" si="995">"银河水星1号集合"</f>
        <v>银河水星1号集合</v>
      </c>
      <c r="F1636" s="1">
        <v>0</v>
      </c>
      <c r="G1636" s="1">
        <v>0</v>
      </c>
      <c r="H1636" s="1">
        <v>0</v>
      </c>
      <c r="I1636" s="1">
        <v>0.17</v>
      </c>
      <c r="J1636" s="1">
        <v>5</v>
      </c>
      <c r="K1636" s="1">
        <v>0</v>
      </c>
    </row>
    <row r="1637" spans="1:11">
      <c r="A1637" s="1" t="str">
        <f>"20201029"</f>
        <v>20201029</v>
      </c>
      <c r="B1637" s="1" t="str">
        <f>"20201029"</f>
        <v>20201029</v>
      </c>
      <c r="C1637" s="1" t="str">
        <f t="shared" ref="C1637:C1641" si="996">"港股通组合费"</f>
        <v>港股通组合费</v>
      </c>
      <c r="D1637" s="1" t="str">
        <f t="shared" ref="D1637:D1641" si="997">""</f>
        <v/>
      </c>
      <c r="E1637" s="1" t="str">
        <f t="shared" ref="E1637:E1641" si="998">""</f>
        <v/>
      </c>
      <c r="F1637" s="1">
        <v>0</v>
      </c>
      <c r="G1637" s="1">
        <v>0</v>
      </c>
      <c r="H1637" s="1">
        <v>0.04</v>
      </c>
      <c r="I1637" s="1">
        <v>-0.04</v>
      </c>
      <c r="J1637" s="1">
        <v>4.96</v>
      </c>
      <c r="K1637" s="1">
        <v>0</v>
      </c>
    </row>
    <row r="1638" spans="1:11">
      <c r="A1638" s="1" t="str">
        <f>"20201029"</f>
        <v>20201029</v>
      </c>
      <c r="B1638" s="1" t="str">
        <f>"20201029"</f>
        <v>20201029</v>
      </c>
      <c r="C1638" s="1" t="str">
        <f t="shared" si="993"/>
        <v>基金赎回拨入</v>
      </c>
      <c r="D1638" s="1" t="str">
        <f t="shared" si="994"/>
        <v>AA0007</v>
      </c>
      <c r="E1638" s="1" t="str">
        <f t="shared" si="995"/>
        <v>银河水星1号集合</v>
      </c>
      <c r="F1638" s="1">
        <v>0</v>
      </c>
      <c r="G1638" s="1">
        <v>0</v>
      </c>
      <c r="H1638" s="1">
        <v>0</v>
      </c>
      <c r="I1638" s="1">
        <v>0.04</v>
      </c>
      <c r="J1638" s="1">
        <v>5</v>
      </c>
      <c r="K1638" s="1">
        <v>0</v>
      </c>
    </row>
    <row r="1639" spans="1:11">
      <c r="A1639" s="1" t="str">
        <f>"20201030"</f>
        <v>20201030</v>
      </c>
      <c r="B1639" s="1" t="str">
        <f>"20201030"</f>
        <v>20201030</v>
      </c>
      <c r="C1639" s="1" t="str">
        <f t="shared" si="996"/>
        <v>港股通组合费</v>
      </c>
      <c r="D1639" s="1" t="str">
        <f t="shared" si="997"/>
        <v/>
      </c>
      <c r="E1639" s="1" t="str">
        <f t="shared" si="998"/>
        <v/>
      </c>
      <c r="F1639" s="1">
        <v>0</v>
      </c>
      <c r="G1639" s="1">
        <v>0</v>
      </c>
      <c r="H1639" s="1">
        <v>0.04</v>
      </c>
      <c r="I1639" s="1">
        <v>-0.04</v>
      </c>
      <c r="J1639" s="1">
        <v>4.96</v>
      </c>
      <c r="K1639" s="1">
        <v>0</v>
      </c>
    </row>
    <row r="1640" spans="1:11">
      <c r="A1640" s="1" t="str">
        <f>"20201030"</f>
        <v>20201030</v>
      </c>
      <c r="B1640" s="1" t="str">
        <f>"20201030"</f>
        <v>20201030</v>
      </c>
      <c r="C1640" s="1" t="str">
        <f t="shared" si="993"/>
        <v>基金赎回拨入</v>
      </c>
      <c r="D1640" s="1" t="str">
        <f t="shared" si="994"/>
        <v>AA0007</v>
      </c>
      <c r="E1640" s="1" t="str">
        <f t="shared" si="995"/>
        <v>银河水星1号集合</v>
      </c>
      <c r="F1640" s="1">
        <v>0</v>
      </c>
      <c r="G1640" s="1">
        <v>0</v>
      </c>
      <c r="H1640" s="1">
        <v>0</v>
      </c>
      <c r="I1640" s="1">
        <v>0.04</v>
      </c>
      <c r="J1640" s="1">
        <v>5</v>
      </c>
      <c r="K1640" s="1">
        <v>0</v>
      </c>
    </row>
    <row r="1641" spans="1:11">
      <c r="A1641" s="1" t="str">
        <f>"20201102"</f>
        <v>20201102</v>
      </c>
      <c r="B1641" s="1" t="str">
        <f>"20201102"</f>
        <v>20201102</v>
      </c>
      <c r="C1641" s="1" t="str">
        <f t="shared" si="996"/>
        <v>港股通组合费</v>
      </c>
      <c r="D1641" s="1" t="str">
        <f t="shared" si="997"/>
        <v/>
      </c>
      <c r="E1641" s="1" t="str">
        <f t="shared" si="998"/>
        <v/>
      </c>
      <c r="F1641" s="1">
        <v>0</v>
      </c>
      <c r="G1641" s="1">
        <v>0</v>
      </c>
      <c r="H1641" s="1">
        <v>0.13</v>
      </c>
      <c r="I1641" s="1">
        <v>-0.13</v>
      </c>
      <c r="J1641" s="1">
        <v>4.87</v>
      </c>
      <c r="K1641" s="1">
        <v>0</v>
      </c>
    </row>
    <row r="1642" spans="1:11">
      <c r="A1642" s="1" t="str">
        <f>"20201102"</f>
        <v>20201102</v>
      </c>
      <c r="B1642" s="1" t="str">
        <f>"20201102"</f>
        <v>20201102</v>
      </c>
      <c r="C1642" s="1" t="str">
        <f t="shared" ref="C1642:C1646" si="999">"基金赎回拨入"</f>
        <v>基金赎回拨入</v>
      </c>
      <c r="D1642" s="1" t="str">
        <f t="shared" ref="D1642:D1646" si="1000">"AA0007"</f>
        <v>AA0007</v>
      </c>
      <c r="E1642" s="1" t="str">
        <f t="shared" ref="E1642:E1646" si="1001">"银河水星1号集合"</f>
        <v>银河水星1号集合</v>
      </c>
      <c r="F1642" s="1">
        <v>0</v>
      </c>
      <c r="G1642" s="1">
        <v>0</v>
      </c>
      <c r="H1642" s="1">
        <v>0</v>
      </c>
      <c r="I1642" s="1">
        <v>0.04</v>
      </c>
      <c r="J1642" s="1">
        <v>5</v>
      </c>
      <c r="K1642" s="1">
        <v>0</v>
      </c>
    </row>
    <row r="1643" spans="1:11">
      <c r="A1643" s="1" t="str">
        <f>"20201103"</f>
        <v>20201103</v>
      </c>
      <c r="B1643" s="1" t="str">
        <f>"20201103"</f>
        <v>20201103</v>
      </c>
      <c r="C1643" s="1" t="str">
        <f t="shared" ref="C1643:C1647" si="1002">"港股通组合费"</f>
        <v>港股通组合费</v>
      </c>
      <c r="D1643" s="1" t="str">
        <f t="shared" ref="D1643:D1647" si="1003">""</f>
        <v/>
      </c>
      <c r="E1643" s="1" t="str">
        <f t="shared" ref="E1643:E1647" si="1004">""</f>
        <v/>
      </c>
      <c r="F1643" s="1">
        <v>0</v>
      </c>
      <c r="G1643" s="1">
        <v>0</v>
      </c>
      <c r="H1643" s="1">
        <v>0.04</v>
      </c>
      <c r="I1643" s="1">
        <v>-0.04</v>
      </c>
      <c r="J1643" s="1">
        <v>4.96</v>
      </c>
      <c r="K1643" s="1">
        <v>0</v>
      </c>
    </row>
    <row r="1644" spans="1:11">
      <c r="A1644" s="1" t="str">
        <f>"20201103"</f>
        <v>20201103</v>
      </c>
      <c r="B1644" s="1" t="str">
        <f>"20201103"</f>
        <v>20201103</v>
      </c>
      <c r="C1644" s="1" t="str">
        <f t="shared" si="999"/>
        <v>基金赎回拨入</v>
      </c>
      <c r="D1644" s="1" t="str">
        <f t="shared" si="1000"/>
        <v>AA0007</v>
      </c>
      <c r="E1644" s="1" t="str">
        <f t="shared" si="1001"/>
        <v>银河水星1号集合</v>
      </c>
      <c r="F1644" s="1">
        <v>0</v>
      </c>
      <c r="G1644" s="1">
        <v>0</v>
      </c>
      <c r="H1644" s="1">
        <v>0</v>
      </c>
      <c r="I1644" s="1">
        <v>0.13</v>
      </c>
      <c r="J1644" s="1">
        <v>5</v>
      </c>
      <c r="K1644" s="1">
        <v>0</v>
      </c>
    </row>
    <row r="1645" spans="1:11">
      <c r="A1645" s="1" t="str">
        <f>"20201104"</f>
        <v>20201104</v>
      </c>
      <c r="B1645" s="1" t="str">
        <f>"20201104"</f>
        <v>20201104</v>
      </c>
      <c r="C1645" s="1" t="str">
        <f t="shared" si="1002"/>
        <v>港股通组合费</v>
      </c>
      <c r="D1645" s="1" t="str">
        <f t="shared" si="1003"/>
        <v/>
      </c>
      <c r="E1645" s="1" t="str">
        <f t="shared" si="1004"/>
        <v/>
      </c>
      <c r="F1645" s="1">
        <v>0</v>
      </c>
      <c r="G1645" s="1">
        <v>0</v>
      </c>
      <c r="H1645" s="1">
        <v>0.04</v>
      </c>
      <c r="I1645" s="1">
        <v>-0.04</v>
      </c>
      <c r="J1645" s="1">
        <v>4.96</v>
      </c>
      <c r="K1645" s="1">
        <v>0</v>
      </c>
    </row>
    <row r="1646" spans="1:11">
      <c r="A1646" s="1" t="str">
        <f>"20201104"</f>
        <v>20201104</v>
      </c>
      <c r="B1646" s="1" t="str">
        <f>"20201104"</f>
        <v>20201104</v>
      </c>
      <c r="C1646" s="1" t="str">
        <f t="shared" si="999"/>
        <v>基金赎回拨入</v>
      </c>
      <c r="D1646" s="1" t="str">
        <f t="shared" si="1000"/>
        <v>AA0007</v>
      </c>
      <c r="E1646" s="1" t="str">
        <f t="shared" si="1001"/>
        <v>银河水星1号集合</v>
      </c>
      <c r="F1646" s="1">
        <v>0</v>
      </c>
      <c r="G1646" s="1">
        <v>0</v>
      </c>
      <c r="H1646" s="1">
        <v>0</v>
      </c>
      <c r="I1646" s="1">
        <v>0.04</v>
      </c>
      <c r="J1646" s="1">
        <v>5</v>
      </c>
      <c r="K1646" s="1">
        <v>0</v>
      </c>
    </row>
    <row r="1647" spans="1:11">
      <c r="A1647" s="1" t="str">
        <f>"20201105"</f>
        <v>20201105</v>
      </c>
      <c r="B1647" s="1" t="str">
        <f>"20201105"</f>
        <v>20201105</v>
      </c>
      <c r="C1647" s="1" t="str">
        <f t="shared" si="1002"/>
        <v>港股通组合费</v>
      </c>
      <c r="D1647" s="1" t="str">
        <f t="shared" si="1003"/>
        <v/>
      </c>
      <c r="E1647" s="1" t="str">
        <f t="shared" si="1004"/>
        <v/>
      </c>
      <c r="F1647" s="1">
        <v>0</v>
      </c>
      <c r="G1647" s="1">
        <v>0</v>
      </c>
      <c r="H1647" s="1">
        <v>0.04</v>
      </c>
      <c r="I1647" s="1">
        <v>-0.04</v>
      </c>
      <c r="J1647" s="1">
        <v>4.96</v>
      </c>
      <c r="K1647" s="1">
        <v>0</v>
      </c>
    </row>
    <row r="1648" spans="1:11">
      <c r="A1648" s="1" t="str">
        <f>"20201105"</f>
        <v>20201105</v>
      </c>
      <c r="B1648" s="1" t="str">
        <f>"20201105"</f>
        <v>20201105</v>
      </c>
      <c r="C1648" s="1" t="str">
        <f t="shared" ref="C1648:C1653" si="1005">"基金赎回拨入"</f>
        <v>基金赎回拨入</v>
      </c>
      <c r="D1648" s="1" t="str">
        <f t="shared" ref="D1648:D1653" si="1006">"AA0007"</f>
        <v>AA0007</v>
      </c>
      <c r="E1648" s="1" t="str">
        <f t="shared" ref="E1648:E1653" si="1007">"银河水星1号集合"</f>
        <v>银河水星1号集合</v>
      </c>
      <c r="F1648" s="1">
        <v>0</v>
      </c>
      <c r="G1648" s="1">
        <v>0</v>
      </c>
      <c r="H1648" s="1">
        <v>0</v>
      </c>
      <c r="I1648" s="1">
        <v>0.04</v>
      </c>
      <c r="J1648" s="1">
        <v>5</v>
      </c>
      <c r="K1648" s="1">
        <v>0</v>
      </c>
    </row>
    <row r="1649" spans="1:11">
      <c r="A1649" s="1" t="str">
        <f>"20201106"</f>
        <v>20201106</v>
      </c>
      <c r="B1649" s="1" t="str">
        <f>"20201106"</f>
        <v>20201106</v>
      </c>
      <c r="C1649" s="1" t="str">
        <f t="shared" ref="C1649:C1654" si="1008">"港股通组合费"</f>
        <v>港股通组合费</v>
      </c>
      <c r="D1649" s="1" t="str">
        <f t="shared" ref="D1649:D1654" si="1009">""</f>
        <v/>
      </c>
      <c r="E1649" s="1" t="str">
        <f t="shared" ref="E1649:E1654" si="1010">""</f>
        <v/>
      </c>
      <c r="F1649" s="1">
        <v>0</v>
      </c>
      <c r="G1649" s="1">
        <v>0</v>
      </c>
      <c r="H1649" s="1">
        <v>0.04</v>
      </c>
      <c r="I1649" s="1">
        <v>-0.04</v>
      </c>
      <c r="J1649" s="1">
        <v>4.96</v>
      </c>
      <c r="K1649" s="1">
        <v>0</v>
      </c>
    </row>
    <row r="1650" spans="1:11">
      <c r="A1650" s="1" t="str">
        <f>"20201106"</f>
        <v>20201106</v>
      </c>
      <c r="B1650" s="1" t="str">
        <f>"20201106"</f>
        <v>20201106</v>
      </c>
      <c r="C1650" s="1" t="str">
        <f t="shared" si="1005"/>
        <v>基金赎回拨入</v>
      </c>
      <c r="D1650" s="1" t="str">
        <f t="shared" si="1006"/>
        <v>AA0007</v>
      </c>
      <c r="E1650" s="1" t="str">
        <f t="shared" si="1007"/>
        <v>银河水星1号集合</v>
      </c>
      <c r="F1650" s="1">
        <v>0</v>
      </c>
      <c r="G1650" s="1">
        <v>0</v>
      </c>
      <c r="H1650" s="1">
        <v>0</v>
      </c>
      <c r="I1650" s="1">
        <v>0.04</v>
      </c>
      <c r="J1650" s="1">
        <v>5</v>
      </c>
      <c r="K1650" s="1">
        <v>0</v>
      </c>
    </row>
    <row r="1651" spans="1:11">
      <c r="A1651" s="1" t="str">
        <f t="shared" ref="A1651:A1653" si="1011">"20201109"</f>
        <v>20201109</v>
      </c>
      <c r="B1651" s="1" t="str">
        <f t="shared" ref="B1651:B1653" si="1012">"20201109"</f>
        <v>20201109</v>
      </c>
      <c r="C1651" s="1" t="str">
        <f>"港股通红利发放"</f>
        <v>港股通红利发放</v>
      </c>
      <c r="D1651" s="1" t="str">
        <f>"00386"</f>
        <v>00386</v>
      </c>
      <c r="E1651" s="1" t="str">
        <f>"中国石油"</f>
        <v>中国石油</v>
      </c>
      <c r="F1651" s="1">
        <v>0.06</v>
      </c>
      <c r="G1651" s="1">
        <v>54000</v>
      </c>
      <c r="H1651" s="1">
        <v>3024</v>
      </c>
      <c r="I1651" s="1">
        <v>3024</v>
      </c>
      <c r="J1651" s="1">
        <v>3029</v>
      </c>
      <c r="K1651" s="1">
        <v>64000</v>
      </c>
    </row>
    <row r="1652" spans="1:11">
      <c r="A1652" s="1" t="str">
        <f t="shared" si="1011"/>
        <v>20201109</v>
      </c>
      <c r="B1652" s="1" t="str">
        <f t="shared" si="1012"/>
        <v>20201109</v>
      </c>
      <c r="C1652" s="1" t="str">
        <f t="shared" si="1008"/>
        <v>港股通组合费</v>
      </c>
      <c r="D1652" s="1" t="str">
        <f t="shared" si="1009"/>
        <v/>
      </c>
      <c r="E1652" s="1" t="str">
        <f t="shared" si="1010"/>
        <v/>
      </c>
      <c r="F1652" s="1">
        <v>0</v>
      </c>
      <c r="G1652" s="1">
        <v>0</v>
      </c>
      <c r="H1652" s="1">
        <v>0.13</v>
      </c>
      <c r="I1652" s="1">
        <v>-0.13</v>
      </c>
      <c r="J1652" s="1">
        <v>3028.87</v>
      </c>
      <c r="K1652" s="1">
        <v>0</v>
      </c>
    </row>
    <row r="1653" spans="1:11">
      <c r="A1653" s="1" t="str">
        <f t="shared" si="1011"/>
        <v>20201109</v>
      </c>
      <c r="B1653" s="1" t="str">
        <f t="shared" si="1012"/>
        <v>20201109</v>
      </c>
      <c r="C1653" s="1" t="str">
        <f t="shared" si="1005"/>
        <v>基金赎回拨入</v>
      </c>
      <c r="D1653" s="1" t="str">
        <f t="shared" si="1006"/>
        <v>AA0007</v>
      </c>
      <c r="E1653" s="1" t="str">
        <f t="shared" si="1007"/>
        <v>银河水星1号集合</v>
      </c>
      <c r="F1653" s="1">
        <v>0</v>
      </c>
      <c r="G1653" s="1">
        <v>0</v>
      </c>
      <c r="H1653" s="1">
        <v>0</v>
      </c>
      <c r="I1653" s="1">
        <v>0.04</v>
      </c>
      <c r="J1653" s="1">
        <v>5</v>
      </c>
      <c r="K1653" s="1">
        <v>0</v>
      </c>
    </row>
    <row r="1654" spans="1:11">
      <c r="A1654" s="1" t="str">
        <f t="shared" ref="A1654:A1656" si="1013">"20201110"</f>
        <v>20201110</v>
      </c>
      <c r="B1654" s="1" t="str">
        <f t="shared" ref="B1654:B1656" si="1014">"20201110"</f>
        <v>20201110</v>
      </c>
      <c r="C1654" s="1" t="str">
        <f t="shared" si="1008"/>
        <v>港股通组合费</v>
      </c>
      <c r="D1654" s="1" t="str">
        <f t="shared" si="1009"/>
        <v/>
      </c>
      <c r="E1654" s="1" t="str">
        <f t="shared" si="1010"/>
        <v/>
      </c>
      <c r="F1654" s="1">
        <v>0</v>
      </c>
      <c r="G1654" s="1">
        <v>0</v>
      </c>
      <c r="H1654" s="1">
        <v>0.04</v>
      </c>
      <c r="I1654" s="1">
        <v>-0.04</v>
      </c>
      <c r="J1654" s="1">
        <v>4.96</v>
      </c>
      <c r="K1654" s="1">
        <v>0</v>
      </c>
    </row>
    <row r="1655" spans="1:11">
      <c r="A1655" s="1" t="str">
        <f t="shared" si="1013"/>
        <v>20201110</v>
      </c>
      <c r="B1655" s="1" t="str">
        <f t="shared" si="1014"/>
        <v>20201110</v>
      </c>
      <c r="C1655" s="1" t="str">
        <f>"证券转银行"</f>
        <v>证券转银行</v>
      </c>
      <c r="D1655" s="1"/>
      <c r="E1655" s="1"/>
      <c r="F1655" s="1">
        <v>0</v>
      </c>
      <c r="G1655" s="1">
        <v>0</v>
      </c>
      <c r="H1655" s="1">
        <v>0</v>
      </c>
      <c r="I1655" s="1">
        <v>-3028</v>
      </c>
      <c r="J1655" s="1">
        <v>0.87</v>
      </c>
      <c r="K1655" s="1">
        <v>0</v>
      </c>
    </row>
    <row r="1656" spans="1:11">
      <c r="A1656" s="1" t="str">
        <f t="shared" si="1013"/>
        <v>20201110</v>
      </c>
      <c r="B1656" s="1" t="str">
        <f t="shared" si="1014"/>
        <v>20201110</v>
      </c>
      <c r="C1656" s="1" t="str">
        <f>"基金赎回拨入"</f>
        <v>基金赎回拨入</v>
      </c>
      <c r="D1656" s="1" t="str">
        <f>"AA0007"</f>
        <v>AA0007</v>
      </c>
      <c r="E1656" s="1" t="str">
        <f>"银河水星1号集合"</f>
        <v>银河水星1号集合</v>
      </c>
      <c r="F1656" s="1">
        <v>0</v>
      </c>
      <c r="G1656" s="1">
        <v>4</v>
      </c>
      <c r="H1656" s="1">
        <v>0</v>
      </c>
      <c r="I1656" s="1">
        <v>4.13</v>
      </c>
      <c r="J1656" s="1">
        <v>5</v>
      </c>
      <c r="K1656" s="1">
        <v>0</v>
      </c>
    </row>
    <row r="1657" spans="1:11">
      <c r="A1657" s="1" t="str">
        <f>"20201111"</f>
        <v>20201111</v>
      </c>
      <c r="B1657" s="1" t="str">
        <f>"20201111"</f>
        <v>20201111</v>
      </c>
      <c r="C1657" s="1" t="str">
        <f>"港股通组合费"</f>
        <v>港股通组合费</v>
      </c>
      <c r="D1657" s="1" t="str">
        <f>""</f>
        <v/>
      </c>
      <c r="E1657" s="1" t="str">
        <f>""</f>
        <v/>
      </c>
      <c r="F1657" s="1">
        <v>0</v>
      </c>
      <c r="G1657" s="1">
        <v>0</v>
      </c>
      <c r="H1657" s="1">
        <v>0.04</v>
      </c>
      <c r="I1657" s="1">
        <v>-0.04</v>
      </c>
      <c r="J1657" s="1">
        <v>4.96</v>
      </c>
      <c r="K1657" s="1">
        <v>0</v>
      </c>
    </row>
    <row r="1658" spans="1:11">
      <c r="A1658" s="1" t="str">
        <f>"20201111"</f>
        <v>20201111</v>
      </c>
      <c r="B1658" s="1" t="str">
        <f>"20201111"</f>
        <v>20201111</v>
      </c>
      <c r="C1658" s="1" t="str">
        <f>"基金赎回拨入"</f>
        <v>基金赎回拨入</v>
      </c>
      <c r="D1658" s="1" t="str">
        <f>"AA0007"</f>
        <v>AA0007</v>
      </c>
      <c r="E1658" s="1" t="str">
        <f>"银河水星1号集合"</f>
        <v>银河水星1号集合</v>
      </c>
      <c r="F1658" s="1">
        <v>0</v>
      </c>
      <c r="G1658" s="1">
        <v>0</v>
      </c>
      <c r="H1658" s="1">
        <v>0</v>
      </c>
      <c r="I1658" s="1">
        <v>0.04</v>
      </c>
      <c r="J1658" s="1">
        <v>5</v>
      </c>
      <c r="K1658" s="1">
        <v>0</v>
      </c>
    </row>
    <row r="1659" spans="1:11">
      <c r="A1659" s="1" t="str">
        <f t="shared" ref="A1659:A1662" si="1015">"20201112"</f>
        <v>20201112</v>
      </c>
      <c r="B1659" s="1" t="str">
        <f>"20201110"</f>
        <v>20201110</v>
      </c>
      <c r="C1659" s="1" t="str">
        <f>"港股通股票卖出"</f>
        <v>港股通股票卖出</v>
      </c>
      <c r="D1659" s="1" t="str">
        <f>"00386"</f>
        <v>00386</v>
      </c>
      <c r="E1659" s="1" t="str">
        <f>"中国石油"</f>
        <v>中国石油</v>
      </c>
      <c r="F1659" s="1">
        <v>2.9</v>
      </c>
      <c r="G1659" s="1">
        <v>10000</v>
      </c>
      <c r="H1659" s="1">
        <v>29032.89</v>
      </c>
      <c r="I1659" s="1">
        <v>28982.28</v>
      </c>
      <c r="J1659" s="1">
        <v>25819.52</v>
      </c>
      <c r="K1659" s="1">
        <v>54000</v>
      </c>
    </row>
    <row r="1660" spans="1:11">
      <c r="A1660" s="1" t="str">
        <f t="shared" si="1015"/>
        <v>20201112</v>
      </c>
      <c r="B1660" s="1" t="str">
        <f>"20201110"</f>
        <v>20201110</v>
      </c>
      <c r="C1660" s="1" t="str">
        <f>"港股通股票买入"</f>
        <v>港股通股票买入</v>
      </c>
      <c r="D1660" s="1" t="str">
        <f>"01099"</f>
        <v>01099</v>
      </c>
      <c r="E1660" s="1" t="str">
        <f>"国药控股"</f>
        <v>国药控股</v>
      </c>
      <c r="F1660" s="1">
        <v>16.11</v>
      </c>
      <c r="G1660" s="1">
        <v>1600</v>
      </c>
      <c r="H1660" s="1">
        <v>25771.33</v>
      </c>
      <c r="I1660" s="1">
        <v>-25814.52</v>
      </c>
      <c r="J1660" s="1">
        <v>5</v>
      </c>
      <c r="K1660" s="1">
        <v>1600</v>
      </c>
    </row>
    <row r="1661" spans="1:11">
      <c r="A1661" s="1" t="str">
        <f t="shared" si="1015"/>
        <v>20201112</v>
      </c>
      <c r="B1661" s="1" t="str">
        <f>"20201112"</f>
        <v>20201112</v>
      </c>
      <c r="C1661" s="1" t="str">
        <f t="shared" ref="C1661:C1665" si="1016">"港股通组合费"</f>
        <v>港股通组合费</v>
      </c>
      <c r="D1661" s="1" t="str">
        <f t="shared" ref="D1661:D1665" si="1017">""</f>
        <v/>
      </c>
      <c r="E1661" s="1" t="str">
        <f t="shared" ref="E1661:E1665" si="1018">""</f>
        <v/>
      </c>
      <c r="F1661" s="1">
        <v>0</v>
      </c>
      <c r="G1661" s="1">
        <v>0</v>
      </c>
      <c r="H1661" s="1">
        <v>0.05</v>
      </c>
      <c r="I1661" s="1">
        <v>-0.05</v>
      </c>
      <c r="J1661" s="1">
        <v>4.95</v>
      </c>
      <c r="K1661" s="1">
        <v>0</v>
      </c>
    </row>
    <row r="1662" spans="1:11">
      <c r="A1662" s="1" t="str">
        <f t="shared" si="1015"/>
        <v>20201112</v>
      </c>
      <c r="B1662" s="1" t="str">
        <f>"20201112"</f>
        <v>20201112</v>
      </c>
      <c r="C1662" s="1" t="str">
        <f>"基金申购拨出"</f>
        <v>基金申购拨出</v>
      </c>
      <c r="D1662" s="1" t="str">
        <f t="shared" ref="D1662:D1666" si="1019">"AA0007"</f>
        <v>AA0007</v>
      </c>
      <c r="E1662" s="1" t="str">
        <f t="shared" ref="E1662:E1666" si="1020">"银河水星1号集合"</f>
        <v>银河水星1号集合</v>
      </c>
      <c r="F1662" s="1">
        <v>0</v>
      </c>
      <c r="G1662" s="1">
        <v>0</v>
      </c>
      <c r="H1662" s="1">
        <v>0</v>
      </c>
      <c r="I1662" s="1">
        <v>-3167.72</v>
      </c>
      <c r="J1662" s="1">
        <v>-3162.76</v>
      </c>
      <c r="K1662" s="1">
        <v>0</v>
      </c>
    </row>
    <row r="1663" spans="1:11">
      <c r="A1663" s="1" t="str">
        <f>"20201113"</f>
        <v>20201113</v>
      </c>
      <c r="B1663" s="1" t="str">
        <f>"20201113"</f>
        <v>20201113</v>
      </c>
      <c r="C1663" s="1" t="str">
        <f t="shared" si="1016"/>
        <v>港股通组合费</v>
      </c>
      <c r="D1663" s="1" t="str">
        <f t="shared" si="1017"/>
        <v/>
      </c>
      <c r="E1663" s="1" t="str">
        <f t="shared" si="1018"/>
        <v/>
      </c>
      <c r="F1663" s="1">
        <v>0</v>
      </c>
      <c r="G1663" s="1">
        <v>0</v>
      </c>
      <c r="H1663" s="1">
        <v>0.04</v>
      </c>
      <c r="I1663" s="1">
        <v>-0.04</v>
      </c>
      <c r="J1663" s="1">
        <v>4.96</v>
      </c>
      <c r="K1663" s="1">
        <v>0</v>
      </c>
    </row>
    <row r="1664" spans="1:11">
      <c r="A1664" s="1" t="str">
        <f>"20201113"</f>
        <v>20201113</v>
      </c>
      <c r="B1664" s="1" t="str">
        <f>"20201113"</f>
        <v>20201113</v>
      </c>
      <c r="C1664" s="1" t="str">
        <f t="shared" ref="C1664:C1668" si="1021">"基金赎回拨入"</f>
        <v>基金赎回拨入</v>
      </c>
      <c r="D1664" s="1" t="str">
        <f t="shared" si="1019"/>
        <v>AA0007</v>
      </c>
      <c r="E1664" s="1" t="str">
        <f t="shared" si="1020"/>
        <v>银河水星1号集合</v>
      </c>
      <c r="F1664" s="1">
        <v>0</v>
      </c>
      <c r="G1664" s="1">
        <v>0</v>
      </c>
      <c r="H1664" s="1">
        <v>0</v>
      </c>
      <c r="I1664" s="1">
        <v>0.05</v>
      </c>
      <c r="J1664" s="1">
        <v>5</v>
      </c>
      <c r="K1664" s="1">
        <v>0</v>
      </c>
    </row>
    <row r="1665" spans="1:11">
      <c r="A1665" s="1" t="str">
        <f>"20201116"</f>
        <v>20201116</v>
      </c>
      <c r="B1665" s="1" t="str">
        <f>"20201116"</f>
        <v>20201116</v>
      </c>
      <c r="C1665" s="1" t="str">
        <f t="shared" si="1016"/>
        <v>港股通组合费</v>
      </c>
      <c r="D1665" s="1" t="str">
        <f t="shared" si="1017"/>
        <v/>
      </c>
      <c r="E1665" s="1" t="str">
        <f t="shared" si="1018"/>
        <v/>
      </c>
      <c r="F1665" s="1">
        <v>0</v>
      </c>
      <c r="G1665" s="1">
        <v>0</v>
      </c>
      <c r="H1665" s="1">
        <v>0.13</v>
      </c>
      <c r="I1665" s="1">
        <v>-0.13</v>
      </c>
      <c r="J1665" s="1">
        <v>4.87</v>
      </c>
      <c r="K1665" s="1">
        <v>0</v>
      </c>
    </row>
    <row r="1666" spans="1:11">
      <c r="A1666" s="1" t="str">
        <f>"20201116"</f>
        <v>20201116</v>
      </c>
      <c r="B1666" s="1" t="str">
        <f>"20201116"</f>
        <v>20201116</v>
      </c>
      <c r="C1666" s="1" t="str">
        <f t="shared" si="1021"/>
        <v>基金赎回拨入</v>
      </c>
      <c r="D1666" s="1" t="str">
        <f t="shared" si="1019"/>
        <v>AA0007</v>
      </c>
      <c r="E1666" s="1" t="str">
        <f t="shared" si="1020"/>
        <v>银河水星1号集合</v>
      </c>
      <c r="F1666" s="1">
        <v>0</v>
      </c>
      <c r="G1666" s="1">
        <v>0</v>
      </c>
      <c r="H1666" s="1">
        <v>0</v>
      </c>
      <c r="I1666" s="1">
        <v>0.04</v>
      </c>
      <c r="J1666" s="1">
        <v>5</v>
      </c>
      <c r="K1666" s="1">
        <v>0</v>
      </c>
    </row>
    <row r="1667" spans="1:11">
      <c r="A1667" s="1" t="str">
        <f>"20201117"</f>
        <v>20201117</v>
      </c>
      <c r="B1667" s="1" t="str">
        <f>"20201117"</f>
        <v>20201117</v>
      </c>
      <c r="C1667" s="1" t="str">
        <f t="shared" ref="C1667:C1671" si="1022">"港股通组合费"</f>
        <v>港股通组合费</v>
      </c>
      <c r="D1667" s="1" t="str">
        <f t="shared" ref="D1667:D1671" si="1023">""</f>
        <v/>
      </c>
      <c r="E1667" s="1" t="str">
        <f t="shared" ref="E1667:E1671" si="1024">""</f>
        <v/>
      </c>
      <c r="F1667" s="1">
        <v>0</v>
      </c>
      <c r="G1667" s="1">
        <v>0</v>
      </c>
      <c r="H1667" s="1">
        <v>0.04</v>
      </c>
      <c r="I1667" s="1">
        <v>-0.04</v>
      </c>
      <c r="J1667" s="1">
        <v>4.96</v>
      </c>
      <c r="K1667" s="1">
        <v>0</v>
      </c>
    </row>
    <row r="1668" spans="1:11">
      <c r="A1668" s="1" t="str">
        <f>"20201117"</f>
        <v>20201117</v>
      </c>
      <c r="B1668" s="1" t="str">
        <f>"20201117"</f>
        <v>20201117</v>
      </c>
      <c r="C1668" s="1" t="str">
        <f t="shared" si="1021"/>
        <v>基金赎回拨入</v>
      </c>
      <c r="D1668" s="1" t="str">
        <f t="shared" ref="D1668:D1672" si="1025">"AA0007"</f>
        <v>AA0007</v>
      </c>
      <c r="E1668" s="1" t="str">
        <f t="shared" ref="E1668:E1672" si="1026">"银河水星1号集合"</f>
        <v>银河水星1号集合</v>
      </c>
      <c r="F1668" s="1">
        <v>0</v>
      </c>
      <c r="G1668" s="1">
        <v>0</v>
      </c>
      <c r="H1668" s="1">
        <v>0</v>
      </c>
      <c r="I1668" s="1">
        <v>0.13</v>
      </c>
      <c r="J1668" s="1">
        <v>5</v>
      </c>
      <c r="K1668" s="1">
        <v>0</v>
      </c>
    </row>
    <row r="1669" spans="1:11">
      <c r="A1669" s="1" t="str">
        <f>"20201118"</f>
        <v>20201118</v>
      </c>
      <c r="B1669" s="1" t="str">
        <f>"20201118"</f>
        <v>20201118</v>
      </c>
      <c r="C1669" s="1" t="str">
        <f t="shared" si="1022"/>
        <v>港股通组合费</v>
      </c>
      <c r="D1669" s="1" t="str">
        <f t="shared" si="1023"/>
        <v/>
      </c>
      <c r="E1669" s="1" t="str">
        <f t="shared" si="1024"/>
        <v/>
      </c>
      <c r="F1669" s="1">
        <v>0</v>
      </c>
      <c r="G1669" s="1">
        <v>0</v>
      </c>
      <c r="H1669" s="1">
        <v>0.04</v>
      </c>
      <c r="I1669" s="1">
        <v>-0.04</v>
      </c>
      <c r="J1669" s="1">
        <v>4.96</v>
      </c>
      <c r="K1669" s="1">
        <v>0</v>
      </c>
    </row>
    <row r="1670" spans="1:11">
      <c r="A1670" s="1" t="str">
        <f>"20201118"</f>
        <v>20201118</v>
      </c>
      <c r="B1670" s="1" t="str">
        <f>"20201118"</f>
        <v>20201118</v>
      </c>
      <c r="C1670" s="1" t="str">
        <f t="shared" ref="C1670:C1674" si="1027">"基金赎回拨入"</f>
        <v>基金赎回拨入</v>
      </c>
      <c r="D1670" s="1" t="str">
        <f t="shared" si="1025"/>
        <v>AA0007</v>
      </c>
      <c r="E1670" s="1" t="str">
        <f t="shared" si="1026"/>
        <v>银河水星1号集合</v>
      </c>
      <c r="F1670" s="1">
        <v>0</v>
      </c>
      <c r="G1670" s="1">
        <v>0</v>
      </c>
      <c r="H1670" s="1">
        <v>0</v>
      </c>
      <c r="I1670" s="1">
        <v>0.04</v>
      </c>
      <c r="J1670" s="1">
        <v>5</v>
      </c>
      <c r="K1670" s="1">
        <v>0</v>
      </c>
    </row>
    <row r="1671" spans="1:11">
      <c r="A1671" s="1" t="str">
        <f>"20201119"</f>
        <v>20201119</v>
      </c>
      <c r="B1671" s="1" t="str">
        <f>"20201119"</f>
        <v>20201119</v>
      </c>
      <c r="C1671" s="1" t="str">
        <f t="shared" si="1022"/>
        <v>港股通组合费</v>
      </c>
      <c r="D1671" s="1" t="str">
        <f t="shared" si="1023"/>
        <v/>
      </c>
      <c r="E1671" s="1" t="str">
        <f t="shared" si="1024"/>
        <v/>
      </c>
      <c r="F1671" s="1">
        <v>0</v>
      </c>
      <c r="G1671" s="1">
        <v>0</v>
      </c>
      <c r="H1671" s="1">
        <v>0.04</v>
      </c>
      <c r="I1671" s="1">
        <v>-0.04</v>
      </c>
      <c r="J1671" s="1">
        <v>4.96</v>
      </c>
      <c r="K1671" s="1">
        <v>0</v>
      </c>
    </row>
    <row r="1672" spans="1:11">
      <c r="A1672" s="1" t="str">
        <f>"20201119"</f>
        <v>20201119</v>
      </c>
      <c r="B1672" s="1" t="str">
        <f>"20201119"</f>
        <v>20201119</v>
      </c>
      <c r="C1672" s="1" t="str">
        <f t="shared" si="1027"/>
        <v>基金赎回拨入</v>
      </c>
      <c r="D1672" s="1" t="str">
        <f t="shared" si="1025"/>
        <v>AA0007</v>
      </c>
      <c r="E1672" s="1" t="str">
        <f t="shared" si="1026"/>
        <v>银河水星1号集合</v>
      </c>
      <c r="F1672" s="1">
        <v>0</v>
      </c>
      <c r="G1672" s="1">
        <v>0</v>
      </c>
      <c r="H1672" s="1">
        <v>0</v>
      </c>
      <c r="I1672" s="1">
        <v>0.04</v>
      </c>
      <c r="J1672" s="1">
        <v>5</v>
      </c>
      <c r="K1672" s="1">
        <v>0</v>
      </c>
    </row>
    <row r="1673" spans="1:11">
      <c r="A1673" s="1" t="str">
        <f>"20201120"</f>
        <v>20201120</v>
      </c>
      <c r="B1673" s="1" t="str">
        <f>"20201120"</f>
        <v>20201120</v>
      </c>
      <c r="C1673" s="1" t="str">
        <f t="shared" ref="C1673:C1681" si="1028">"港股通组合费"</f>
        <v>港股通组合费</v>
      </c>
      <c r="D1673" s="1" t="str">
        <f t="shared" ref="D1673:D1681" si="1029">""</f>
        <v/>
      </c>
      <c r="E1673" s="1" t="str">
        <f t="shared" ref="E1673:E1681" si="1030">""</f>
        <v/>
      </c>
      <c r="F1673" s="1">
        <v>0</v>
      </c>
      <c r="G1673" s="1">
        <v>0</v>
      </c>
      <c r="H1673" s="1">
        <v>0.04</v>
      </c>
      <c r="I1673" s="1">
        <v>-0.04</v>
      </c>
      <c r="J1673" s="1">
        <v>4.96</v>
      </c>
      <c r="K1673" s="1">
        <v>0</v>
      </c>
    </row>
    <row r="1674" spans="1:11">
      <c r="A1674" s="1" t="str">
        <f>"20201120"</f>
        <v>20201120</v>
      </c>
      <c r="B1674" s="1" t="str">
        <f>"20201120"</f>
        <v>20201120</v>
      </c>
      <c r="C1674" s="1" t="str">
        <f t="shared" si="1027"/>
        <v>基金赎回拨入</v>
      </c>
      <c r="D1674" s="1" t="str">
        <f>"AA0007"</f>
        <v>AA0007</v>
      </c>
      <c r="E1674" s="1" t="str">
        <f>"银河水星1号集合"</f>
        <v>银河水星1号集合</v>
      </c>
      <c r="F1674" s="1">
        <v>0</v>
      </c>
      <c r="G1674" s="1">
        <v>0</v>
      </c>
      <c r="H1674" s="1">
        <v>0</v>
      </c>
      <c r="I1674" s="1">
        <v>0.04</v>
      </c>
      <c r="J1674" s="1">
        <v>5</v>
      </c>
      <c r="K1674" s="1">
        <v>0</v>
      </c>
    </row>
    <row r="1675" spans="1:11">
      <c r="A1675" s="1" t="str">
        <f t="shared" ref="A1675:A1677" si="1031">"20201123"</f>
        <v>20201123</v>
      </c>
      <c r="B1675" s="1" t="str">
        <f t="shared" ref="B1675:B1677" si="1032">"20201123"</f>
        <v>20201123</v>
      </c>
      <c r="C1675" s="1" t="str">
        <f t="shared" si="1028"/>
        <v>港股通组合费</v>
      </c>
      <c r="D1675" s="1" t="str">
        <f t="shared" si="1029"/>
        <v/>
      </c>
      <c r="E1675" s="1" t="str">
        <f t="shared" si="1030"/>
        <v/>
      </c>
      <c r="F1675" s="1">
        <v>0</v>
      </c>
      <c r="G1675" s="1">
        <v>0</v>
      </c>
      <c r="H1675" s="1">
        <v>0.13</v>
      </c>
      <c r="I1675" s="1">
        <v>-0.13</v>
      </c>
      <c r="J1675" s="1">
        <v>371.57</v>
      </c>
      <c r="K1675" s="1">
        <v>0</v>
      </c>
    </row>
    <row r="1676" spans="1:11">
      <c r="A1676" s="1" t="str">
        <f t="shared" si="1031"/>
        <v>20201123</v>
      </c>
      <c r="B1676" s="1" t="str">
        <f t="shared" si="1032"/>
        <v>20201123</v>
      </c>
      <c r="C1676" s="1" t="str">
        <f>"证券买入"</f>
        <v>证券买入</v>
      </c>
      <c r="D1676" s="1" t="str">
        <f>"000601"</f>
        <v>000601</v>
      </c>
      <c r="E1676" s="1" t="str">
        <f>"韶能股份"</f>
        <v>韶能股份</v>
      </c>
      <c r="F1676" s="1">
        <v>7.16</v>
      </c>
      <c r="G1676" s="1">
        <v>1100</v>
      </c>
      <c r="H1676" s="1">
        <v>7876</v>
      </c>
      <c r="I1676" s="1">
        <v>-7881</v>
      </c>
      <c r="J1676" s="1">
        <v>-7876.04</v>
      </c>
      <c r="K1676" s="1">
        <v>2800</v>
      </c>
    </row>
    <row r="1677" spans="1:11">
      <c r="A1677" s="1" t="str">
        <f t="shared" si="1031"/>
        <v>20201123</v>
      </c>
      <c r="B1677" s="1" t="str">
        <f t="shared" si="1032"/>
        <v>20201123</v>
      </c>
      <c r="C1677" s="1" t="str">
        <f>"证券卖出"</f>
        <v>证券卖出</v>
      </c>
      <c r="D1677" s="1" t="str">
        <f>"000601"</f>
        <v>000601</v>
      </c>
      <c r="E1677" s="1" t="str">
        <f>"韶能股份"</f>
        <v>韶能股份</v>
      </c>
      <c r="F1677" s="1">
        <v>7.51</v>
      </c>
      <c r="G1677" s="1">
        <v>1100</v>
      </c>
      <c r="H1677" s="1">
        <v>8261</v>
      </c>
      <c r="I1677" s="1">
        <v>8247.74</v>
      </c>
      <c r="J1677" s="1">
        <v>371.7</v>
      </c>
      <c r="K1677" s="1">
        <v>1700</v>
      </c>
    </row>
    <row r="1678" spans="1:11">
      <c r="A1678" s="1" t="str">
        <f>"20201124"</f>
        <v>20201124</v>
      </c>
      <c r="B1678" s="1" t="str">
        <f>"20201124"</f>
        <v>20201124</v>
      </c>
      <c r="C1678" s="1" t="str">
        <f t="shared" si="1028"/>
        <v>港股通组合费</v>
      </c>
      <c r="D1678" s="1" t="str">
        <f t="shared" si="1029"/>
        <v/>
      </c>
      <c r="E1678" s="1" t="str">
        <f t="shared" si="1030"/>
        <v/>
      </c>
      <c r="F1678" s="1">
        <v>0</v>
      </c>
      <c r="G1678" s="1">
        <v>0</v>
      </c>
      <c r="H1678" s="1">
        <v>0.04</v>
      </c>
      <c r="I1678" s="1">
        <v>-0.04</v>
      </c>
      <c r="J1678" s="1">
        <v>371.53</v>
      </c>
      <c r="K1678" s="1">
        <v>0</v>
      </c>
    </row>
    <row r="1679" spans="1:11">
      <c r="A1679" s="1" t="str">
        <f>"20201125"</f>
        <v>20201125</v>
      </c>
      <c r="B1679" s="1" t="str">
        <f>"20201125"</f>
        <v>20201125</v>
      </c>
      <c r="C1679" s="1" t="str">
        <f t="shared" si="1028"/>
        <v>港股通组合费</v>
      </c>
      <c r="D1679" s="1" t="str">
        <f t="shared" si="1029"/>
        <v/>
      </c>
      <c r="E1679" s="1" t="str">
        <f t="shared" si="1030"/>
        <v/>
      </c>
      <c r="F1679" s="1">
        <v>0</v>
      </c>
      <c r="G1679" s="1">
        <v>0</v>
      </c>
      <c r="H1679" s="1">
        <v>0.04</v>
      </c>
      <c r="I1679" s="1">
        <v>-0.04</v>
      </c>
      <c r="J1679" s="1">
        <v>371.49</v>
      </c>
      <c r="K1679" s="1">
        <v>0</v>
      </c>
    </row>
    <row r="1680" spans="1:11">
      <c r="A1680" s="1" t="str">
        <f>"20201126"</f>
        <v>20201126</v>
      </c>
      <c r="B1680" s="1" t="str">
        <f>"20201126"</f>
        <v>20201126</v>
      </c>
      <c r="C1680" s="1" t="str">
        <f t="shared" si="1028"/>
        <v>港股通组合费</v>
      </c>
      <c r="D1680" s="1" t="str">
        <f t="shared" si="1029"/>
        <v/>
      </c>
      <c r="E1680" s="1" t="str">
        <f t="shared" si="1030"/>
        <v/>
      </c>
      <c r="F1680" s="1">
        <v>0</v>
      </c>
      <c r="G1680" s="1">
        <v>0</v>
      </c>
      <c r="H1680" s="1">
        <v>0.05</v>
      </c>
      <c r="I1680" s="1">
        <v>-0.05</v>
      </c>
      <c r="J1680" s="1">
        <v>371.44</v>
      </c>
      <c r="K1680" s="1">
        <v>0</v>
      </c>
    </row>
    <row r="1681" spans="1:11">
      <c r="A1681" s="1" t="str">
        <f>"20201127"</f>
        <v>20201127</v>
      </c>
      <c r="B1681" s="1" t="str">
        <f>"20201127"</f>
        <v>20201127</v>
      </c>
      <c r="C1681" s="1" t="str">
        <f t="shared" si="1028"/>
        <v>港股通组合费</v>
      </c>
      <c r="D1681" s="1" t="str">
        <f t="shared" si="1029"/>
        <v/>
      </c>
      <c r="E1681" s="1" t="str">
        <f t="shared" si="1030"/>
        <v/>
      </c>
      <c r="F1681" s="1">
        <v>0</v>
      </c>
      <c r="G1681" s="1">
        <v>0</v>
      </c>
      <c r="H1681" s="1">
        <v>0.05</v>
      </c>
      <c r="I1681" s="1">
        <v>-0.05</v>
      </c>
      <c r="J1681" s="1">
        <v>7940.95</v>
      </c>
      <c r="K1681" s="1">
        <v>0</v>
      </c>
    </row>
    <row r="1682" spans="1:11">
      <c r="A1682" s="1" t="str">
        <f>"20201127"</f>
        <v>20201127</v>
      </c>
      <c r="B1682" s="1" t="str">
        <f>"20201127"</f>
        <v>20201127</v>
      </c>
      <c r="C1682" s="1" t="str">
        <f>"基金赎回拨入"</f>
        <v>基金赎回拨入</v>
      </c>
      <c r="D1682" s="1" t="str">
        <f t="shared" ref="D1682:D1686" si="1033">"AA0007"</f>
        <v>AA0007</v>
      </c>
      <c r="E1682" s="1" t="str">
        <f t="shared" ref="E1682:E1686" si="1034">"银河水星1号集合"</f>
        <v>银河水星1号集合</v>
      </c>
      <c r="F1682" s="1">
        <v>0</v>
      </c>
      <c r="G1682" s="1">
        <v>7569</v>
      </c>
      <c r="H1682" s="1">
        <v>0</v>
      </c>
      <c r="I1682" s="1">
        <v>7569.56</v>
      </c>
      <c r="J1682" s="1">
        <v>7941</v>
      </c>
      <c r="K1682" s="1">
        <v>0</v>
      </c>
    </row>
    <row r="1683" spans="1:11">
      <c r="A1683" s="1" t="str">
        <f>"20201130"</f>
        <v>20201130</v>
      </c>
      <c r="B1683" s="1" t="str">
        <f>"20201130"</f>
        <v>20201130</v>
      </c>
      <c r="C1683" s="1" t="str">
        <f t="shared" ref="C1683:C1687" si="1035">"港股通组合费"</f>
        <v>港股通组合费</v>
      </c>
      <c r="D1683" s="1" t="str">
        <f t="shared" ref="D1683:D1687" si="1036">""</f>
        <v/>
      </c>
      <c r="E1683" s="1" t="str">
        <f t="shared" ref="E1683:E1687" si="1037">""</f>
        <v/>
      </c>
      <c r="F1683" s="1">
        <v>0</v>
      </c>
      <c r="G1683" s="1">
        <v>0</v>
      </c>
      <c r="H1683" s="1">
        <v>0.15</v>
      </c>
      <c r="I1683" s="1">
        <v>-0.15</v>
      </c>
      <c r="J1683" s="1">
        <v>4.85</v>
      </c>
      <c r="K1683" s="1">
        <v>0</v>
      </c>
    </row>
    <row r="1684" spans="1:11">
      <c r="A1684" s="1" t="str">
        <f>"20201130"</f>
        <v>20201130</v>
      </c>
      <c r="B1684" s="1" t="str">
        <f>"20201130"</f>
        <v>20201130</v>
      </c>
      <c r="C1684" s="1" t="str">
        <f>"基金申购拨出"</f>
        <v>基金申购拨出</v>
      </c>
      <c r="D1684" s="1" t="str">
        <f t="shared" si="1033"/>
        <v>AA0007</v>
      </c>
      <c r="E1684" s="1" t="str">
        <f t="shared" si="1034"/>
        <v>银河水星1号集合</v>
      </c>
      <c r="F1684" s="1">
        <v>0</v>
      </c>
      <c r="G1684" s="1">
        <v>0</v>
      </c>
      <c r="H1684" s="1">
        <v>0</v>
      </c>
      <c r="I1684" s="1">
        <v>-7935.95</v>
      </c>
      <c r="J1684" s="1">
        <v>5</v>
      </c>
      <c r="K1684" s="1">
        <v>0</v>
      </c>
    </row>
    <row r="1685" spans="1:11">
      <c r="A1685" s="1" t="str">
        <f>"20201201"</f>
        <v>20201201</v>
      </c>
      <c r="B1685" s="1" t="str">
        <f>"20201201"</f>
        <v>20201201</v>
      </c>
      <c r="C1685" s="1" t="str">
        <f t="shared" si="1035"/>
        <v>港股通组合费</v>
      </c>
      <c r="D1685" s="1" t="str">
        <f t="shared" si="1036"/>
        <v/>
      </c>
      <c r="E1685" s="1" t="str">
        <f t="shared" si="1037"/>
        <v/>
      </c>
      <c r="F1685" s="1">
        <v>0</v>
      </c>
      <c r="G1685" s="1">
        <v>0</v>
      </c>
      <c r="H1685" s="1">
        <v>0.04</v>
      </c>
      <c r="I1685" s="1">
        <v>-0.04</v>
      </c>
      <c r="J1685" s="1">
        <v>4.96</v>
      </c>
      <c r="K1685" s="1">
        <v>0</v>
      </c>
    </row>
    <row r="1686" spans="1:11">
      <c r="A1686" s="1" t="str">
        <f>"20201201"</f>
        <v>20201201</v>
      </c>
      <c r="B1686" s="1" t="str">
        <f>"20201201"</f>
        <v>20201201</v>
      </c>
      <c r="C1686" s="1" t="str">
        <f t="shared" ref="C1686:C1690" si="1038">"基金赎回拨入"</f>
        <v>基金赎回拨入</v>
      </c>
      <c r="D1686" s="1" t="str">
        <f t="shared" si="1033"/>
        <v>AA0007</v>
      </c>
      <c r="E1686" s="1" t="str">
        <f t="shared" si="1034"/>
        <v>银河水星1号集合</v>
      </c>
      <c r="F1686" s="1">
        <v>0</v>
      </c>
      <c r="G1686" s="1">
        <v>0</v>
      </c>
      <c r="H1686" s="1">
        <v>0</v>
      </c>
      <c r="I1686" s="1">
        <v>0.15</v>
      </c>
      <c r="J1686" s="1">
        <v>5</v>
      </c>
      <c r="K1686" s="1">
        <v>0</v>
      </c>
    </row>
    <row r="1687" spans="1:11">
      <c r="A1687" s="1" t="str">
        <f>"20201202"</f>
        <v>20201202</v>
      </c>
      <c r="B1687" s="1" t="str">
        <f>"20201202"</f>
        <v>20201202</v>
      </c>
      <c r="C1687" s="1" t="str">
        <f t="shared" si="1035"/>
        <v>港股通组合费</v>
      </c>
      <c r="D1687" s="1" t="str">
        <f t="shared" si="1036"/>
        <v/>
      </c>
      <c r="E1687" s="1" t="str">
        <f t="shared" si="1037"/>
        <v/>
      </c>
      <c r="F1687" s="1">
        <v>0</v>
      </c>
      <c r="G1687" s="1">
        <v>0</v>
      </c>
      <c r="H1687" s="1">
        <v>0.04</v>
      </c>
      <c r="I1687" s="1">
        <v>-0.04</v>
      </c>
      <c r="J1687" s="1">
        <v>4.96</v>
      </c>
      <c r="K1687" s="1">
        <v>0</v>
      </c>
    </row>
    <row r="1688" spans="1:11">
      <c r="A1688" s="1" t="str">
        <f>"20201202"</f>
        <v>20201202</v>
      </c>
      <c r="B1688" s="1" t="str">
        <f>"20201202"</f>
        <v>20201202</v>
      </c>
      <c r="C1688" s="1" t="str">
        <f t="shared" si="1038"/>
        <v>基金赎回拨入</v>
      </c>
      <c r="D1688" s="1" t="str">
        <f t="shared" ref="D1688:D1692" si="1039">"AA0007"</f>
        <v>AA0007</v>
      </c>
      <c r="E1688" s="1" t="str">
        <f t="shared" ref="E1688:E1692" si="1040">"银河水星1号集合"</f>
        <v>银河水星1号集合</v>
      </c>
      <c r="F1688" s="1">
        <v>0</v>
      </c>
      <c r="G1688" s="1">
        <v>0</v>
      </c>
      <c r="H1688" s="1">
        <v>0</v>
      </c>
      <c r="I1688" s="1">
        <v>0.04</v>
      </c>
      <c r="J1688" s="1">
        <v>5</v>
      </c>
      <c r="K1688" s="1">
        <v>0</v>
      </c>
    </row>
    <row r="1689" spans="1:11">
      <c r="A1689" s="1" t="str">
        <f>"20201203"</f>
        <v>20201203</v>
      </c>
      <c r="B1689" s="1" t="str">
        <f>"20201203"</f>
        <v>20201203</v>
      </c>
      <c r="C1689" s="1" t="str">
        <f t="shared" ref="C1689:C1693" si="1041">"港股通组合费"</f>
        <v>港股通组合费</v>
      </c>
      <c r="D1689" s="1" t="str">
        <f t="shared" ref="D1689:D1693" si="1042">""</f>
        <v/>
      </c>
      <c r="E1689" s="1" t="str">
        <f t="shared" ref="E1689:E1693" si="1043">""</f>
        <v/>
      </c>
      <c r="F1689" s="1">
        <v>0</v>
      </c>
      <c r="G1689" s="1">
        <v>0</v>
      </c>
      <c r="H1689" s="1">
        <v>0.04</v>
      </c>
      <c r="I1689" s="1">
        <v>-0.04</v>
      </c>
      <c r="J1689" s="1">
        <v>4.96</v>
      </c>
      <c r="K1689" s="1">
        <v>0</v>
      </c>
    </row>
    <row r="1690" spans="1:11">
      <c r="A1690" s="1" t="str">
        <f>"20201203"</f>
        <v>20201203</v>
      </c>
      <c r="B1690" s="1" t="str">
        <f>"20201203"</f>
        <v>20201203</v>
      </c>
      <c r="C1690" s="1" t="str">
        <f t="shared" si="1038"/>
        <v>基金赎回拨入</v>
      </c>
      <c r="D1690" s="1" t="str">
        <f t="shared" si="1039"/>
        <v>AA0007</v>
      </c>
      <c r="E1690" s="1" t="str">
        <f t="shared" si="1040"/>
        <v>银河水星1号集合</v>
      </c>
      <c r="F1690" s="1">
        <v>0</v>
      </c>
      <c r="G1690" s="1">
        <v>0</v>
      </c>
      <c r="H1690" s="1">
        <v>0</v>
      </c>
      <c r="I1690" s="1">
        <v>0.04</v>
      </c>
      <c r="J1690" s="1">
        <v>5</v>
      </c>
      <c r="K1690" s="1">
        <v>0</v>
      </c>
    </row>
    <row r="1691" spans="1:11">
      <c r="A1691" s="1" t="str">
        <f>"20201204"</f>
        <v>20201204</v>
      </c>
      <c r="B1691" s="1" t="str">
        <f>"20201204"</f>
        <v>20201204</v>
      </c>
      <c r="C1691" s="1" t="str">
        <f t="shared" si="1041"/>
        <v>港股通组合费</v>
      </c>
      <c r="D1691" s="1" t="str">
        <f t="shared" si="1042"/>
        <v/>
      </c>
      <c r="E1691" s="1" t="str">
        <f t="shared" si="1043"/>
        <v/>
      </c>
      <c r="F1691" s="1">
        <v>0</v>
      </c>
      <c r="G1691" s="1">
        <v>0</v>
      </c>
      <c r="H1691" s="1">
        <v>0.04</v>
      </c>
      <c r="I1691" s="1">
        <v>-0.04</v>
      </c>
      <c r="J1691" s="1">
        <v>4.96</v>
      </c>
      <c r="K1691" s="1">
        <v>0</v>
      </c>
    </row>
    <row r="1692" spans="1:11">
      <c r="A1692" s="1" t="str">
        <f>"20201204"</f>
        <v>20201204</v>
      </c>
      <c r="B1692" s="1" t="str">
        <f>"20201204"</f>
        <v>20201204</v>
      </c>
      <c r="C1692" s="1" t="str">
        <f t="shared" ref="C1692:C1696" si="1044">"基金赎回拨入"</f>
        <v>基金赎回拨入</v>
      </c>
      <c r="D1692" s="1" t="str">
        <f t="shared" si="1039"/>
        <v>AA0007</v>
      </c>
      <c r="E1692" s="1" t="str">
        <f t="shared" si="1040"/>
        <v>银河水星1号集合</v>
      </c>
      <c r="F1692" s="1">
        <v>0</v>
      </c>
      <c r="G1692" s="1">
        <v>0</v>
      </c>
      <c r="H1692" s="1">
        <v>0</v>
      </c>
      <c r="I1692" s="1">
        <v>0.04</v>
      </c>
      <c r="J1692" s="1">
        <v>5</v>
      </c>
      <c r="K1692" s="1">
        <v>0</v>
      </c>
    </row>
    <row r="1693" spans="1:11">
      <c r="A1693" s="1" t="str">
        <f>"20201207"</f>
        <v>20201207</v>
      </c>
      <c r="B1693" s="1" t="str">
        <f>"20201207"</f>
        <v>20201207</v>
      </c>
      <c r="C1693" s="1" t="str">
        <f t="shared" si="1041"/>
        <v>港股通组合费</v>
      </c>
      <c r="D1693" s="1" t="str">
        <f t="shared" si="1042"/>
        <v/>
      </c>
      <c r="E1693" s="1" t="str">
        <f t="shared" si="1043"/>
        <v/>
      </c>
      <c r="F1693" s="1">
        <v>0</v>
      </c>
      <c r="G1693" s="1">
        <v>0</v>
      </c>
      <c r="H1693" s="1">
        <v>0.13</v>
      </c>
      <c r="I1693" s="1">
        <v>-0.13</v>
      </c>
      <c r="J1693" s="1">
        <v>4.87</v>
      </c>
      <c r="K1693" s="1">
        <v>0</v>
      </c>
    </row>
    <row r="1694" spans="1:11">
      <c r="A1694" s="1" t="str">
        <f>"20201207"</f>
        <v>20201207</v>
      </c>
      <c r="B1694" s="1" t="str">
        <f>"20201207"</f>
        <v>20201207</v>
      </c>
      <c r="C1694" s="1" t="str">
        <f t="shared" si="1044"/>
        <v>基金赎回拨入</v>
      </c>
      <c r="D1694" s="1" t="str">
        <f t="shared" ref="D1694:D1698" si="1045">"AA0007"</f>
        <v>AA0007</v>
      </c>
      <c r="E1694" s="1" t="str">
        <f t="shared" ref="E1694:E1698" si="1046">"银河水星1号集合"</f>
        <v>银河水星1号集合</v>
      </c>
      <c r="F1694" s="1">
        <v>0</v>
      </c>
      <c r="G1694" s="1">
        <v>0</v>
      </c>
      <c r="H1694" s="1">
        <v>0</v>
      </c>
      <c r="I1694" s="1">
        <v>0.04</v>
      </c>
      <c r="J1694" s="1">
        <v>5</v>
      </c>
      <c r="K1694" s="1">
        <v>0</v>
      </c>
    </row>
    <row r="1695" spans="1:11">
      <c r="A1695" s="1" t="str">
        <f>"20201208"</f>
        <v>20201208</v>
      </c>
      <c r="B1695" s="1" t="str">
        <f>"20201208"</f>
        <v>20201208</v>
      </c>
      <c r="C1695" s="1" t="str">
        <f t="shared" ref="C1695:C1699" si="1047">"港股通组合费"</f>
        <v>港股通组合费</v>
      </c>
      <c r="D1695" s="1" t="str">
        <f t="shared" ref="D1695:D1699" si="1048">""</f>
        <v/>
      </c>
      <c r="E1695" s="1" t="str">
        <f t="shared" ref="E1695:E1699" si="1049">""</f>
        <v/>
      </c>
      <c r="F1695" s="1">
        <v>0</v>
      </c>
      <c r="G1695" s="1">
        <v>0</v>
      </c>
      <c r="H1695" s="1">
        <v>0.04</v>
      </c>
      <c r="I1695" s="1">
        <v>-0.04</v>
      </c>
      <c r="J1695" s="1">
        <v>4.96</v>
      </c>
      <c r="K1695" s="1">
        <v>0</v>
      </c>
    </row>
    <row r="1696" spans="1:11">
      <c r="A1696" s="1" t="str">
        <f>"20201208"</f>
        <v>20201208</v>
      </c>
      <c r="B1696" s="1" t="str">
        <f>"20201208"</f>
        <v>20201208</v>
      </c>
      <c r="C1696" s="1" t="str">
        <f t="shared" si="1044"/>
        <v>基金赎回拨入</v>
      </c>
      <c r="D1696" s="1" t="str">
        <f t="shared" si="1045"/>
        <v>AA0007</v>
      </c>
      <c r="E1696" s="1" t="str">
        <f t="shared" si="1046"/>
        <v>银河水星1号集合</v>
      </c>
      <c r="F1696" s="1">
        <v>0</v>
      </c>
      <c r="G1696" s="1">
        <v>0</v>
      </c>
      <c r="H1696" s="1">
        <v>0</v>
      </c>
      <c r="I1696" s="1">
        <v>0.13</v>
      </c>
      <c r="J1696" s="1">
        <v>5</v>
      </c>
      <c r="K1696" s="1">
        <v>0</v>
      </c>
    </row>
    <row r="1697" spans="1:11">
      <c r="A1697" s="1" t="str">
        <f>"20201209"</f>
        <v>20201209</v>
      </c>
      <c r="B1697" s="1" t="str">
        <f>"20201209"</f>
        <v>20201209</v>
      </c>
      <c r="C1697" s="1" t="str">
        <f t="shared" si="1047"/>
        <v>港股通组合费</v>
      </c>
      <c r="D1697" s="1" t="str">
        <f t="shared" si="1048"/>
        <v/>
      </c>
      <c r="E1697" s="1" t="str">
        <f t="shared" si="1049"/>
        <v/>
      </c>
      <c r="F1697" s="1">
        <v>0</v>
      </c>
      <c r="G1697" s="1">
        <v>0</v>
      </c>
      <c r="H1697" s="1">
        <v>0.04</v>
      </c>
      <c r="I1697" s="1">
        <v>-0.04</v>
      </c>
      <c r="J1697" s="1">
        <v>4.96</v>
      </c>
      <c r="K1697" s="1">
        <v>0</v>
      </c>
    </row>
    <row r="1698" spans="1:11">
      <c r="A1698" s="1" t="str">
        <f>"20201209"</f>
        <v>20201209</v>
      </c>
      <c r="B1698" s="1" t="str">
        <f>"20201209"</f>
        <v>20201209</v>
      </c>
      <c r="C1698" s="1" t="str">
        <f>"基金赎回拨入"</f>
        <v>基金赎回拨入</v>
      </c>
      <c r="D1698" s="1" t="str">
        <f t="shared" si="1045"/>
        <v>AA0007</v>
      </c>
      <c r="E1698" s="1" t="str">
        <f t="shared" si="1046"/>
        <v>银河水星1号集合</v>
      </c>
      <c r="F1698" s="1">
        <v>0</v>
      </c>
      <c r="G1698" s="1">
        <v>0</v>
      </c>
      <c r="H1698" s="1">
        <v>0</v>
      </c>
      <c r="I1698" s="1">
        <v>0.04</v>
      </c>
      <c r="J1698" s="1">
        <v>5</v>
      </c>
      <c r="K1698" s="1">
        <v>0</v>
      </c>
    </row>
    <row r="1699" spans="1:11">
      <c r="A1699" s="1" t="str">
        <f>"20201210"</f>
        <v>20201210</v>
      </c>
      <c r="B1699" s="1" t="str">
        <f>"20201210"</f>
        <v>20201210</v>
      </c>
      <c r="C1699" s="1" t="str">
        <f t="shared" si="1047"/>
        <v>港股通组合费</v>
      </c>
      <c r="D1699" s="1" t="str">
        <f t="shared" si="1048"/>
        <v/>
      </c>
      <c r="E1699" s="1" t="str">
        <f t="shared" si="1049"/>
        <v/>
      </c>
      <c r="F1699" s="1">
        <v>0</v>
      </c>
      <c r="G1699" s="1">
        <v>0</v>
      </c>
      <c r="H1699" s="1">
        <v>0.04</v>
      </c>
      <c r="I1699" s="1">
        <v>-0.04</v>
      </c>
      <c r="J1699" s="1">
        <v>8313.96</v>
      </c>
      <c r="K1699" s="1">
        <v>0</v>
      </c>
    </row>
    <row r="1700" spans="1:11">
      <c r="A1700" s="1" t="str">
        <f>"20201210"</f>
        <v>20201210</v>
      </c>
      <c r="B1700" s="1" t="str">
        <f>"20201210"</f>
        <v>20201210</v>
      </c>
      <c r="C1700" s="1" t="str">
        <f>"基金赎回拨入"</f>
        <v>基金赎回拨入</v>
      </c>
      <c r="D1700" s="1" t="str">
        <f t="shared" ref="D1700:D1704" si="1050">"AA0007"</f>
        <v>AA0007</v>
      </c>
      <c r="E1700" s="1" t="str">
        <f t="shared" ref="E1700:E1704" si="1051">"银河水星1号集合"</f>
        <v>银河水星1号集合</v>
      </c>
      <c r="F1700" s="1">
        <v>0</v>
      </c>
      <c r="G1700" s="1">
        <v>8309</v>
      </c>
      <c r="H1700" s="1">
        <v>0</v>
      </c>
      <c r="I1700" s="1">
        <v>8309.04</v>
      </c>
      <c r="J1700" s="1">
        <v>8314</v>
      </c>
      <c r="K1700" s="1">
        <v>0</v>
      </c>
    </row>
    <row r="1701" spans="1:11">
      <c r="A1701" s="1" t="str">
        <f>"20201211"</f>
        <v>20201211</v>
      </c>
      <c r="B1701" s="1" t="str">
        <f>"20201211"</f>
        <v>20201211</v>
      </c>
      <c r="C1701" s="1" t="str">
        <f t="shared" ref="C1701:C1705" si="1052">"港股通组合费"</f>
        <v>港股通组合费</v>
      </c>
      <c r="D1701" s="1" t="str">
        <f t="shared" ref="D1701:D1705" si="1053">""</f>
        <v/>
      </c>
      <c r="E1701" s="1" t="str">
        <f t="shared" ref="E1701:E1705" si="1054">""</f>
        <v/>
      </c>
      <c r="F1701" s="1">
        <v>0</v>
      </c>
      <c r="G1701" s="1">
        <v>0</v>
      </c>
      <c r="H1701" s="1">
        <v>0.04</v>
      </c>
      <c r="I1701" s="1">
        <v>-0.04</v>
      </c>
      <c r="J1701" s="1">
        <v>4.96</v>
      </c>
      <c r="K1701" s="1">
        <v>0</v>
      </c>
    </row>
    <row r="1702" spans="1:11">
      <c r="A1702" s="1" t="str">
        <f>"20201211"</f>
        <v>20201211</v>
      </c>
      <c r="B1702" s="1" t="str">
        <f>"20201211"</f>
        <v>20201211</v>
      </c>
      <c r="C1702" s="1" t="str">
        <f>"基金申购拨出"</f>
        <v>基金申购拨出</v>
      </c>
      <c r="D1702" s="1" t="str">
        <f t="shared" si="1050"/>
        <v>AA0007</v>
      </c>
      <c r="E1702" s="1" t="str">
        <f t="shared" si="1051"/>
        <v>银河水星1号集合</v>
      </c>
      <c r="F1702" s="1">
        <v>0</v>
      </c>
      <c r="G1702" s="1">
        <v>0</v>
      </c>
      <c r="H1702" s="1">
        <v>0</v>
      </c>
      <c r="I1702" s="1">
        <v>-8308.96</v>
      </c>
      <c r="J1702" s="1">
        <v>5</v>
      </c>
      <c r="K1702" s="1">
        <v>0</v>
      </c>
    </row>
    <row r="1703" spans="1:11">
      <c r="A1703" s="1" t="str">
        <f>"20201214"</f>
        <v>20201214</v>
      </c>
      <c r="B1703" s="1" t="str">
        <f>"20201214"</f>
        <v>20201214</v>
      </c>
      <c r="C1703" s="1" t="str">
        <f t="shared" si="1052"/>
        <v>港股通组合费</v>
      </c>
      <c r="D1703" s="1" t="str">
        <f t="shared" si="1053"/>
        <v/>
      </c>
      <c r="E1703" s="1" t="str">
        <f t="shared" si="1054"/>
        <v/>
      </c>
      <c r="F1703" s="1">
        <v>0</v>
      </c>
      <c r="G1703" s="1">
        <v>0</v>
      </c>
      <c r="H1703" s="1">
        <v>0.13</v>
      </c>
      <c r="I1703" s="1">
        <v>-0.13</v>
      </c>
      <c r="J1703" s="1">
        <v>4.87</v>
      </c>
      <c r="K1703" s="1">
        <v>0</v>
      </c>
    </row>
    <row r="1704" spans="1:11">
      <c r="A1704" s="1" t="str">
        <f>"20201214"</f>
        <v>20201214</v>
      </c>
      <c r="B1704" s="1" t="str">
        <f>"20201214"</f>
        <v>20201214</v>
      </c>
      <c r="C1704" s="1" t="str">
        <f t="shared" ref="C1704:C1708" si="1055">"基金赎回拨入"</f>
        <v>基金赎回拨入</v>
      </c>
      <c r="D1704" s="1" t="str">
        <f t="shared" si="1050"/>
        <v>AA0007</v>
      </c>
      <c r="E1704" s="1" t="str">
        <f t="shared" si="1051"/>
        <v>银河水星1号集合</v>
      </c>
      <c r="F1704" s="1">
        <v>0</v>
      </c>
      <c r="G1704" s="1">
        <v>0</v>
      </c>
      <c r="H1704" s="1">
        <v>0</v>
      </c>
      <c r="I1704" s="1">
        <v>0.04</v>
      </c>
      <c r="J1704" s="1">
        <v>5</v>
      </c>
      <c r="K1704" s="1">
        <v>0</v>
      </c>
    </row>
    <row r="1705" spans="1:11">
      <c r="A1705" s="1" t="str">
        <f>"20201215"</f>
        <v>20201215</v>
      </c>
      <c r="B1705" s="1" t="str">
        <f>"20201215"</f>
        <v>20201215</v>
      </c>
      <c r="C1705" s="1" t="str">
        <f t="shared" si="1052"/>
        <v>港股通组合费</v>
      </c>
      <c r="D1705" s="1" t="str">
        <f t="shared" si="1053"/>
        <v/>
      </c>
      <c r="E1705" s="1" t="str">
        <f t="shared" si="1054"/>
        <v/>
      </c>
      <c r="F1705" s="1">
        <v>0</v>
      </c>
      <c r="G1705" s="1">
        <v>0</v>
      </c>
      <c r="H1705" s="1">
        <v>0.04</v>
      </c>
      <c r="I1705" s="1">
        <v>-0.04</v>
      </c>
      <c r="J1705" s="1">
        <v>4.96</v>
      </c>
      <c r="K1705" s="1">
        <v>0</v>
      </c>
    </row>
    <row r="1706" spans="1:11">
      <c r="A1706" s="1" t="str">
        <f>"20201215"</f>
        <v>20201215</v>
      </c>
      <c r="B1706" s="1" t="str">
        <f>"20201215"</f>
        <v>20201215</v>
      </c>
      <c r="C1706" s="1" t="str">
        <f t="shared" si="1055"/>
        <v>基金赎回拨入</v>
      </c>
      <c r="D1706" s="1" t="str">
        <f t="shared" ref="D1706:D1710" si="1056">"AA0007"</f>
        <v>AA0007</v>
      </c>
      <c r="E1706" s="1" t="str">
        <f t="shared" ref="E1706:E1710" si="1057">"银河水星1号集合"</f>
        <v>银河水星1号集合</v>
      </c>
      <c r="F1706" s="1">
        <v>0</v>
      </c>
      <c r="G1706" s="1">
        <v>0</v>
      </c>
      <c r="H1706" s="1">
        <v>0</v>
      </c>
      <c r="I1706" s="1">
        <v>0.13</v>
      </c>
      <c r="J1706" s="1">
        <v>5</v>
      </c>
      <c r="K1706" s="1">
        <v>0</v>
      </c>
    </row>
    <row r="1707" spans="1:11">
      <c r="A1707" s="1" t="str">
        <f>"20201216"</f>
        <v>20201216</v>
      </c>
      <c r="B1707" s="1" t="str">
        <f>"20201216"</f>
        <v>20201216</v>
      </c>
      <c r="C1707" s="1" t="str">
        <f>"港股通组合费"</f>
        <v>港股通组合费</v>
      </c>
      <c r="D1707" s="1" t="str">
        <f>""</f>
        <v/>
      </c>
      <c r="E1707" s="1" t="str">
        <f>""</f>
        <v/>
      </c>
      <c r="F1707" s="1">
        <v>0</v>
      </c>
      <c r="G1707" s="1">
        <v>0</v>
      </c>
      <c r="H1707" s="1">
        <v>0.04</v>
      </c>
      <c r="I1707" s="1">
        <v>-0.04</v>
      </c>
      <c r="J1707" s="1">
        <v>4.96</v>
      </c>
      <c r="K1707" s="1">
        <v>0</v>
      </c>
    </row>
    <row r="1708" spans="1:11">
      <c r="A1708" s="1" t="str">
        <f>"20201216"</f>
        <v>20201216</v>
      </c>
      <c r="B1708" s="1" t="str">
        <f>"20201216"</f>
        <v>20201216</v>
      </c>
      <c r="C1708" s="1" t="str">
        <f t="shared" si="1055"/>
        <v>基金赎回拨入</v>
      </c>
      <c r="D1708" s="1" t="str">
        <f t="shared" si="1056"/>
        <v>AA0007</v>
      </c>
      <c r="E1708" s="1" t="str">
        <f t="shared" si="1057"/>
        <v>银河水星1号集合</v>
      </c>
      <c r="F1708" s="1">
        <v>0</v>
      </c>
      <c r="G1708" s="1">
        <v>0</v>
      </c>
      <c r="H1708" s="1">
        <v>0</v>
      </c>
      <c r="I1708" s="1">
        <v>0.04</v>
      </c>
      <c r="J1708" s="1">
        <v>5</v>
      </c>
      <c r="K1708" s="1">
        <v>0</v>
      </c>
    </row>
    <row r="1709" spans="1:11">
      <c r="A1709" s="1" t="str">
        <f t="shared" ref="A1709:A1712" si="1058">"20201217"</f>
        <v>20201217</v>
      </c>
      <c r="B1709" s="1" t="str">
        <f t="shared" ref="B1709:B1712" si="1059">"20201217"</f>
        <v>20201217</v>
      </c>
      <c r="C1709" s="1" t="str">
        <f>"港股通组合费"</f>
        <v>港股通组合费</v>
      </c>
      <c r="D1709" s="1" t="str">
        <f>""</f>
        <v/>
      </c>
      <c r="E1709" s="1" t="str">
        <f>""</f>
        <v/>
      </c>
      <c r="F1709" s="1">
        <v>0</v>
      </c>
      <c r="G1709" s="1">
        <v>0</v>
      </c>
      <c r="H1709" s="1">
        <v>0.04</v>
      </c>
      <c r="I1709" s="1">
        <v>-0.04</v>
      </c>
      <c r="J1709" s="1">
        <v>4.96</v>
      </c>
      <c r="K1709" s="1">
        <v>0</v>
      </c>
    </row>
    <row r="1710" spans="1:11">
      <c r="A1710" s="1" t="str">
        <f t="shared" si="1058"/>
        <v>20201217</v>
      </c>
      <c r="B1710" s="1" t="str">
        <f t="shared" si="1059"/>
        <v>20201217</v>
      </c>
      <c r="C1710" s="1" t="str">
        <f>"基金赎回拨入"</f>
        <v>基金赎回拨入</v>
      </c>
      <c r="D1710" s="1" t="str">
        <f t="shared" si="1056"/>
        <v>AA0007</v>
      </c>
      <c r="E1710" s="1" t="str">
        <f t="shared" si="1057"/>
        <v>银河水星1号集合</v>
      </c>
      <c r="F1710" s="1">
        <v>0</v>
      </c>
      <c r="G1710" s="1">
        <v>8250</v>
      </c>
      <c r="H1710" s="1">
        <v>0</v>
      </c>
      <c r="I1710" s="1">
        <v>8250.07</v>
      </c>
      <c r="J1710" s="1">
        <v>8255.03</v>
      </c>
      <c r="K1710" s="1">
        <v>0</v>
      </c>
    </row>
    <row r="1711" spans="1:11">
      <c r="A1711" s="1" t="str">
        <f t="shared" si="1058"/>
        <v>20201217</v>
      </c>
      <c r="B1711" s="1" t="str">
        <f t="shared" si="1059"/>
        <v>20201217</v>
      </c>
      <c r="C1711" s="1" t="str">
        <f>"证券卖出"</f>
        <v>证券卖出</v>
      </c>
      <c r="D1711" s="1" t="str">
        <f>"003016"</f>
        <v>003016</v>
      </c>
      <c r="E1711" s="1" t="str">
        <f>"欣贺股份"</f>
        <v>欣贺股份</v>
      </c>
      <c r="F1711" s="1">
        <v>10.05</v>
      </c>
      <c r="G1711" s="1">
        <v>500</v>
      </c>
      <c r="H1711" s="1">
        <v>5025</v>
      </c>
      <c r="I1711" s="1">
        <v>5014.97</v>
      </c>
      <c r="J1711" s="1">
        <v>13270</v>
      </c>
      <c r="K1711" s="1">
        <v>0</v>
      </c>
    </row>
    <row r="1712" spans="1:11">
      <c r="A1712" s="1" t="str">
        <f t="shared" si="1058"/>
        <v>20201217</v>
      </c>
      <c r="B1712" s="1" t="str">
        <f t="shared" si="1059"/>
        <v>20201217</v>
      </c>
      <c r="C1712" s="1" t="str">
        <f>"证券买入"</f>
        <v>证券买入</v>
      </c>
      <c r="D1712" s="1" t="str">
        <f>"002183"</f>
        <v>002183</v>
      </c>
      <c r="E1712" s="1" t="str">
        <f>"怡 亚 通"</f>
        <v>怡 亚 通</v>
      </c>
      <c r="F1712" s="1">
        <v>4.42</v>
      </c>
      <c r="G1712" s="1">
        <v>3000</v>
      </c>
      <c r="H1712" s="1">
        <v>13260</v>
      </c>
      <c r="I1712" s="1">
        <v>-13265</v>
      </c>
      <c r="J1712" s="1">
        <v>5</v>
      </c>
      <c r="K1712" s="1">
        <v>3000</v>
      </c>
    </row>
    <row r="1713" spans="1:11">
      <c r="A1713" s="1" t="str">
        <f t="shared" ref="A1713:A1715" si="1060">"20201218"</f>
        <v>20201218</v>
      </c>
      <c r="B1713" s="1" t="str">
        <f t="shared" ref="B1713:B1715" si="1061">"20201218"</f>
        <v>20201218</v>
      </c>
      <c r="C1713" s="1" t="str">
        <f t="shared" ref="C1713:C1717" si="1062">"港股通组合费"</f>
        <v>港股通组合费</v>
      </c>
      <c r="D1713" s="1" t="str">
        <f t="shared" ref="D1713:D1717" si="1063">""</f>
        <v/>
      </c>
      <c r="E1713" s="1" t="str">
        <f t="shared" ref="E1713:E1717" si="1064">""</f>
        <v/>
      </c>
      <c r="F1713" s="1">
        <v>0</v>
      </c>
      <c r="G1713" s="1">
        <v>0</v>
      </c>
      <c r="H1713" s="1">
        <v>0.04</v>
      </c>
      <c r="I1713" s="1">
        <v>-0.04</v>
      </c>
      <c r="J1713" s="1">
        <v>6.76</v>
      </c>
      <c r="K1713" s="1">
        <v>0</v>
      </c>
    </row>
    <row r="1714" spans="1:11">
      <c r="A1714" s="1" t="str">
        <f t="shared" si="1060"/>
        <v>20201218</v>
      </c>
      <c r="B1714" s="1" t="str">
        <f t="shared" si="1061"/>
        <v>20201218</v>
      </c>
      <c r="C1714" s="1" t="str">
        <f>"利息归本"</f>
        <v>利息归本</v>
      </c>
      <c r="D1714" s="1"/>
      <c r="E1714" s="1"/>
      <c r="F1714" s="1">
        <v>0</v>
      </c>
      <c r="G1714" s="1">
        <v>0</v>
      </c>
      <c r="H1714" s="1">
        <v>0</v>
      </c>
      <c r="I1714" s="1">
        <v>1.8</v>
      </c>
      <c r="J1714" s="1">
        <v>6.76</v>
      </c>
      <c r="K1714" s="1">
        <v>0</v>
      </c>
    </row>
    <row r="1715" spans="1:11">
      <c r="A1715" s="1" t="str">
        <f t="shared" si="1060"/>
        <v>20201218</v>
      </c>
      <c r="B1715" s="1" t="str">
        <f t="shared" si="1061"/>
        <v>20201218</v>
      </c>
      <c r="C1715" s="1" t="str">
        <f>"基金赎回拨入"</f>
        <v>基金赎回拨入</v>
      </c>
      <c r="D1715" s="1" t="str">
        <f>"AA0007"</f>
        <v>AA0007</v>
      </c>
      <c r="E1715" s="1" t="str">
        <f>"银河水星1号集合"</f>
        <v>银河水星1号集合</v>
      </c>
      <c r="F1715" s="1">
        <v>0</v>
      </c>
      <c r="G1715" s="1">
        <v>0</v>
      </c>
      <c r="H1715" s="1">
        <v>0</v>
      </c>
      <c r="I1715" s="1">
        <v>0.04</v>
      </c>
      <c r="J1715" s="1">
        <v>6.8</v>
      </c>
      <c r="K1715" s="1">
        <v>0</v>
      </c>
    </row>
    <row r="1716" spans="1:11">
      <c r="A1716" s="1" t="str">
        <f>"20201221"</f>
        <v>20201221</v>
      </c>
      <c r="B1716" s="1" t="str">
        <f>"20201221"</f>
        <v>20201221</v>
      </c>
      <c r="C1716" s="1" t="str">
        <f t="shared" si="1062"/>
        <v>港股通组合费</v>
      </c>
      <c r="D1716" s="1" t="str">
        <f t="shared" si="1063"/>
        <v/>
      </c>
      <c r="E1716" s="1" t="str">
        <f t="shared" si="1064"/>
        <v/>
      </c>
      <c r="F1716" s="1">
        <v>0</v>
      </c>
      <c r="G1716" s="1">
        <v>0</v>
      </c>
      <c r="H1716" s="1">
        <v>0.13</v>
      </c>
      <c r="I1716" s="1">
        <v>-0.13</v>
      </c>
      <c r="J1716" s="1">
        <v>6.63</v>
      </c>
      <c r="K1716" s="1">
        <v>0</v>
      </c>
    </row>
    <row r="1717" spans="1:11">
      <c r="A1717" s="1" t="str">
        <f>"20201222"</f>
        <v>20201222</v>
      </c>
      <c r="B1717" s="1" t="str">
        <f>"20201222"</f>
        <v>20201222</v>
      </c>
      <c r="C1717" s="1" t="str">
        <f t="shared" si="1062"/>
        <v>港股通组合费</v>
      </c>
      <c r="D1717" s="1" t="str">
        <f t="shared" si="1063"/>
        <v/>
      </c>
      <c r="E1717" s="1" t="str">
        <f t="shared" si="1064"/>
        <v/>
      </c>
      <c r="F1717" s="1">
        <v>0</v>
      </c>
      <c r="G1717" s="1">
        <v>0</v>
      </c>
      <c r="H1717" s="1">
        <v>0.04</v>
      </c>
      <c r="I1717" s="1">
        <v>-0.04</v>
      </c>
      <c r="J1717" s="1">
        <v>25.49</v>
      </c>
      <c r="K1717" s="1">
        <v>0</v>
      </c>
    </row>
    <row r="1718" spans="1:11">
      <c r="A1718" s="1" t="str">
        <f>"20201222"</f>
        <v>20201222</v>
      </c>
      <c r="B1718" s="1" t="str">
        <f>"0"</f>
        <v>0</v>
      </c>
      <c r="C1718" s="1" t="str">
        <f>"基金红利拨入"</f>
        <v>基金红利拨入</v>
      </c>
      <c r="D1718" s="1" t="str">
        <f>"AA0007"</f>
        <v>AA0007</v>
      </c>
      <c r="E1718" s="1" t="str">
        <f>"银河水星1号"</f>
        <v>银河水星1号</v>
      </c>
      <c r="F1718" s="1">
        <v>0</v>
      </c>
      <c r="G1718" s="1">
        <v>0</v>
      </c>
      <c r="H1718" s="1">
        <v>18.9</v>
      </c>
      <c r="I1718" s="1">
        <v>18.9</v>
      </c>
      <c r="J1718" s="1">
        <v>25.53</v>
      </c>
      <c r="K1718" s="1">
        <v>0</v>
      </c>
    </row>
    <row r="1719" spans="1:11">
      <c r="A1719" s="1" t="str">
        <f>"20201223"</f>
        <v>20201223</v>
      </c>
      <c r="B1719" s="1" t="str">
        <f>"20201223"</f>
        <v>20201223</v>
      </c>
      <c r="C1719" s="1" t="str">
        <f t="shared" ref="C1719:C1752" si="1065">"港股通组合费"</f>
        <v>港股通组合费</v>
      </c>
      <c r="D1719" s="1" t="str">
        <f t="shared" ref="D1719:D1752" si="1066">""</f>
        <v/>
      </c>
      <c r="E1719" s="1" t="str">
        <f t="shared" ref="E1719:E1752" si="1067">""</f>
        <v/>
      </c>
      <c r="F1719" s="1">
        <v>0</v>
      </c>
      <c r="G1719" s="1">
        <v>0</v>
      </c>
      <c r="H1719" s="1">
        <v>0.04</v>
      </c>
      <c r="I1719" s="1">
        <v>-0.04</v>
      </c>
      <c r="J1719" s="1">
        <v>25.45</v>
      </c>
      <c r="K1719" s="1">
        <v>0</v>
      </c>
    </row>
    <row r="1720" spans="1:11">
      <c r="A1720" s="1" t="str">
        <f>"20201224"</f>
        <v>20201224</v>
      </c>
      <c r="B1720" s="1" t="str">
        <f>"20201224"</f>
        <v>20201224</v>
      </c>
      <c r="C1720" s="1" t="str">
        <f t="shared" si="1065"/>
        <v>港股通组合费</v>
      </c>
      <c r="D1720" s="1" t="str">
        <f t="shared" si="1066"/>
        <v/>
      </c>
      <c r="E1720" s="1" t="str">
        <f t="shared" si="1067"/>
        <v/>
      </c>
      <c r="F1720" s="1">
        <v>0</v>
      </c>
      <c r="G1720" s="1">
        <v>0</v>
      </c>
      <c r="H1720" s="1">
        <v>0.04</v>
      </c>
      <c r="I1720" s="1">
        <v>-0.04</v>
      </c>
      <c r="J1720" s="1">
        <v>25.41</v>
      </c>
      <c r="K1720" s="1">
        <v>0</v>
      </c>
    </row>
    <row r="1721" spans="1:11">
      <c r="A1721" s="1" t="str">
        <f>"20201228"</f>
        <v>20201228</v>
      </c>
      <c r="B1721" s="1" t="str">
        <f>"20201228"</f>
        <v>20201228</v>
      </c>
      <c r="C1721" s="1" t="str">
        <f t="shared" si="1065"/>
        <v>港股通组合费</v>
      </c>
      <c r="D1721" s="1" t="str">
        <f t="shared" si="1066"/>
        <v/>
      </c>
      <c r="E1721" s="1" t="str">
        <f t="shared" si="1067"/>
        <v/>
      </c>
      <c r="F1721" s="1">
        <v>0</v>
      </c>
      <c r="G1721" s="1">
        <v>0</v>
      </c>
      <c r="H1721" s="1">
        <v>0.17</v>
      </c>
      <c r="I1721" s="1">
        <v>-0.17</v>
      </c>
      <c r="J1721" s="1">
        <v>25.24</v>
      </c>
      <c r="K1721" s="1">
        <v>0</v>
      </c>
    </row>
    <row r="1722" spans="1:11">
      <c r="A1722" s="1" t="str">
        <f>"20201229"</f>
        <v>20201229</v>
      </c>
      <c r="B1722" s="1" t="str">
        <f>"20201229"</f>
        <v>20201229</v>
      </c>
      <c r="C1722" s="1" t="str">
        <f t="shared" si="1065"/>
        <v>港股通组合费</v>
      </c>
      <c r="D1722" s="1" t="str">
        <f t="shared" si="1066"/>
        <v/>
      </c>
      <c r="E1722" s="1" t="str">
        <f t="shared" si="1067"/>
        <v/>
      </c>
      <c r="F1722" s="1">
        <v>0</v>
      </c>
      <c r="G1722" s="1">
        <v>0</v>
      </c>
      <c r="H1722" s="1">
        <v>0.04</v>
      </c>
      <c r="I1722" s="1">
        <v>-0.04</v>
      </c>
      <c r="J1722" s="1">
        <v>25.2</v>
      </c>
      <c r="K1722" s="1">
        <v>0</v>
      </c>
    </row>
    <row r="1723" spans="1:11">
      <c r="A1723" s="1" t="str">
        <f>"20201230"</f>
        <v>20201230</v>
      </c>
      <c r="B1723" s="1" t="str">
        <f>"20201230"</f>
        <v>20201230</v>
      </c>
      <c r="C1723" s="1" t="str">
        <f t="shared" si="1065"/>
        <v>港股通组合费</v>
      </c>
      <c r="D1723" s="1" t="str">
        <f t="shared" si="1066"/>
        <v/>
      </c>
      <c r="E1723" s="1" t="str">
        <f t="shared" si="1067"/>
        <v/>
      </c>
      <c r="F1723" s="1">
        <v>0</v>
      </c>
      <c r="G1723" s="1">
        <v>0</v>
      </c>
      <c r="H1723" s="1">
        <v>0.04</v>
      </c>
      <c r="I1723" s="1">
        <v>-0.04</v>
      </c>
      <c r="J1723" s="1">
        <v>25.16</v>
      </c>
      <c r="K1723" s="1">
        <v>0</v>
      </c>
    </row>
    <row r="1724" spans="1:11">
      <c r="A1724" s="1" t="str">
        <f>"20201231"</f>
        <v>20201231</v>
      </c>
      <c r="B1724" s="1" t="str">
        <f>"20201231"</f>
        <v>20201231</v>
      </c>
      <c r="C1724" s="1" t="str">
        <f t="shared" si="1065"/>
        <v>港股通组合费</v>
      </c>
      <c r="D1724" s="1" t="str">
        <f t="shared" si="1066"/>
        <v/>
      </c>
      <c r="E1724" s="1" t="str">
        <f t="shared" si="1067"/>
        <v/>
      </c>
      <c r="F1724" s="1">
        <v>0</v>
      </c>
      <c r="G1724" s="1">
        <v>0</v>
      </c>
      <c r="H1724" s="1">
        <v>0.04</v>
      </c>
      <c r="I1724" s="1">
        <v>-0.04</v>
      </c>
      <c r="J1724" s="1">
        <v>25.12</v>
      </c>
      <c r="K1724" s="1">
        <v>0</v>
      </c>
    </row>
    <row r="1725" spans="1:11">
      <c r="A1725" s="4" t="str">
        <f>"20210104"</f>
        <v>20210104</v>
      </c>
      <c r="B1725" s="4" t="str">
        <f>"20210104"</f>
        <v>20210104</v>
      </c>
      <c r="C1725" s="4" t="str">
        <f t="shared" si="1065"/>
        <v>港股通组合费</v>
      </c>
      <c r="D1725" s="4" t="str">
        <f t="shared" si="1066"/>
        <v/>
      </c>
      <c r="E1725" s="4" t="str">
        <f t="shared" si="1067"/>
        <v/>
      </c>
      <c r="F1725" s="7">
        <v>0</v>
      </c>
      <c r="G1725" s="7">
        <v>0</v>
      </c>
      <c r="H1725" s="7">
        <v>0.17</v>
      </c>
      <c r="I1725" s="7">
        <v>-0.17</v>
      </c>
      <c r="J1725" s="7">
        <v>24.95</v>
      </c>
      <c r="K1725" s="7">
        <v>0</v>
      </c>
    </row>
    <row r="1726" spans="1:11">
      <c r="A1726" s="4" t="str">
        <f>"20210105"</f>
        <v>20210105</v>
      </c>
      <c r="B1726" s="4" t="str">
        <f>"20210105"</f>
        <v>20210105</v>
      </c>
      <c r="C1726" s="4" t="str">
        <f t="shared" si="1065"/>
        <v>港股通组合费</v>
      </c>
      <c r="D1726" s="4" t="str">
        <f t="shared" si="1066"/>
        <v/>
      </c>
      <c r="E1726" s="4" t="str">
        <f t="shared" si="1067"/>
        <v/>
      </c>
      <c r="F1726" s="7">
        <v>0</v>
      </c>
      <c r="G1726" s="7">
        <v>0</v>
      </c>
      <c r="H1726" s="7">
        <v>0.04</v>
      </c>
      <c r="I1726" s="7">
        <v>-0.04</v>
      </c>
      <c r="J1726" s="7">
        <v>24.91</v>
      </c>
      <c r="K1726" s="7">
        <v>0</v>
      </c>
    </row>
    <row r="1727" spans="1:11">
      <c r="A1727" s="4" t="str">
        <f>"20210106"</f>
        <v>20210106</v>
      </c>
      <c r="B1727" s="4" t="str">
        <f>"20210106"</f>
        <v>20210106</v>
      </c>
      <c r="C1727" s="4" t="str">
        <f t="shared" si="1065"/>
        <v>港股通组合费</v>
      </c>
      <c r="D1727" s="4" t="str">
        <f t="shared" si="1066"/>
        <v/>
      </c>
      <c r="E1727" s="4" t="str">
        <f t="shared" si="1067"/>
        <v/>
      </c>
      <c r="F1727" s="7">
        <v>0</v>
      </c>
      <c r="G1727" s="7">
        <v>0</v>
      </c>
      <c r="H1727" s="7">
        <v>0.04</v>
      </c>
      <c r="I1727" s="7">
        <v>-0.04</v>
      </c>
      <c r="J1727" s="7">
        <v>24.87</v>
      </c>
      <c r="K1727" s="7">
        <v>0</v>
      </c>
    </row>
    <row r="1728" spans="1:11">
      <c r="A1728" s="4" t="str">
        <f>"20210107"</f>
        <v>20210107</v>
      </c>
      <c r="B1728" s="4" t="str">
        <f>"20210107"</f>
        <v>20210107</v>
      </c>
      <c r="C1728" s="4" t="str">
        <f t="shared" si="1065"/>
        <v>港股通组合费</v>
      </c>
      <c r="D1728" s="4" t="str">
        <f t="shared" si="1066"/>
        <v/>
      </c>
      <c r="E1728" s="4" t="str">
        <f t="shared" si="1067"/>
        <v/>
      </c>
      <c r="F1728" s="7">
        <v>0</v>
      </c>
      <c r="G1728" s="7">
        <v>0</v>
      </c>
      <c r="H1728" s="7">
        <v>0.04</v>
      </c>
      <c r="I1728" s="7">
        <v>-0.04</v>
      </c>
      <c r="J1728" s="7">
        <v>24.83</v>
      </c>
      <c r="K1728" s="7">
        <v>0</v>
      </c>
    </row>
    <row r="1729" spans="1:11">
      <c r="A1729" s="4" t="str">
        <f>"20210108"</f>
        <v>20210108</v>
      </c>
      <c r="B1729" s="4" t="str">
        <f>"20210108"</f>
        <v>20210108</v>
      </c>
      <c r="C1729" s="4" t="str">
        <f t="shared" si="1065"/>
        <v>港股通组合费</v>
      </c>
      <c r="D1729" s="4" t="str">
        <f t="shared" si="1066"/>
        <v/>
      </c>
      <c r="E1729" s="4" t="str">
        <f t="shared" si="1067"/>
        <v/>
      </c>
      <c r="F1729" s="7">
        <v>0</v>
      </c>
      <c r="G1729" s="7">
        <v>0</v>
      </c>
      <c r="H1729" s="7">
        <v>0.05</v>
      </c>
      <c r="I1729" s="7">
        <v>-0.05</v>
      </c>
      <c r="J1729" s="7">
        <v>24.78</v>
      </c>
      <c r="K1729" s="7">
        <v>0</v>
      </c>
    </row>
    <row r="1730" spans="1:11">
      <c r="A1730" s="4" t="str">
        <f>"20210111"</f>
        <v>20210111</v>
      </c>
      <c r="B1730" s="4" t="str">
        <f>"20210111"</f>
        <v>20210111</v>
      </c>
      <c r="C1730" s="4" t="str">
        <f t="shared" si="1065"/>
        <v>港股通组合费</v>
      </c>
      <c r="D1730" s="4" t="str">
        <f t="shared" si="1066"/>
        <v/>
      </c>
      <c r="E1730" s="4" t="str">
        <f t="shared" si="1067"/>
        <v/>
      </c>
      <c r="F1730" s="7">
        <v>0</v>
      </c>
      <c r="G1730" s="7">
        <v>0</v>
      </c>
      <c r="H1730" s="7">
        <v>0.15</v>
      </c>
      <c r="I1730" s="7">
        <v>-0.15</v>
      </c>
      <c r="J1730" s="7">
        <v>24.63</v>
      </c>
      <c r="K1730" s="7">
        <v>0</v>
      </c>
    </row>
    <row r="1731" spans="1:11">
      <c r="A1731" s="4" t="str">
        <f>"20210112"</f>
        <v>20210112</v>
      </c>
      <c r="B1731" s="4" t="str">
        <f>"20210112"</f>
        <v>20210112</v>
      </c>
      <c r="C1731" s="4" t="str">
        <f t="shared" si="1065"/>
        <v>港股通组合费</v>
      </c>
      <c r="D1731" s="4" t="str">
        <f t="shared" si="1066"/>
        <v/>
      </c>
      <c r="E1731" s="4" t="str">
        <f t="shared" si="1067"/>
        <v/>
      </c>
      <c r="F1731" s="7">
        <v>0</v>
      </c>
      <c r="G1731" s="7">
        <v>0</v>
      </c>
      <c r="H1731" s="7">
        <v>0.05</v>
      </c>
      <c r="I1731" s="7">
        <v>-0.05</v>
      </c>
      <c r="J1731" s="7">
        <v>24.58</v>
      </c>
      <c r="K1731" s="7">
        <v>0</v>
      </c>
    </row>
    <row r="1732" spans="1:11">
      <c r="A1732" s="4" t="str">
        <f>"20210113"</f>
        <v>20210113</v>
      </c>
      <c r="B1732" s="4" t="str">
        <f>"20210113"</f>
        <v>20210113</v>
      </c>
      <c r="C1732" s="4" t="str">
        <f t="shared" si="1065"/>
        <v>港股通组合费</v>
      </c>
      <c r="D1732" s="4" t="str">
        <f t="shared" si="1066"/>
        <v/>
      </c>
      <c r="E1732" s="4" t="str">
        <f t="shared" si="1067"/>
        <v/>
      </c>
      <c r="F1732" s="7">
        <v>0</v>
      </c>
      <c r="G1732" s="7">
        <v>0</v>
      </c>
      <c r="H1732" s="7">
        <v>0.05</v>
      </c>
      <c r="I1732" s="7">
        <v>-0.05</v>
      </c>
      <c r="J1732" s="7">
        <v>24.53</v>
      </c>
      <c r="K1732" s="7">
        <v>0</v>
      </c>
    </row>
    <row r="1733" spans="1:11">
      <c r="A1733" s="4" t="str">
        <f>"20210114"</f>
        <v>20210114</v>
      </c>
      <c r="B1733" s="4" t="str">
        <f>"20210114"</f>
        <v>20210114</v>
      </c>
      <c r="C1733" s="4" t="str">
        <f t="shared" si="1065"/>
        <v>港股通组合费</v>
      </c>
      <c r="D1733" s="4" t="str">
        <f t="shared" si="1066"/>
        <v/>
      </c>
      <c r="E1733" s="4" t="str">
        <f t="shared" si="1067"/>
        <v/>
      </c>
      <c r="F1733" s="7">
        <v>0</v>
      </c>
      <c r="G1733" s="7">
        <v>0</v>
      </c>
      <c r="H1733" s="7">
        <v>0.05</v>
      </c>
      <c r="I1733" s="7">
        <v>-0.05</v>
      </c>
      <c r="J1733" s="7">
        <v>24.48</v>
      </c>
      <c r="K1733" s="7">
        <v>0</v>
      </c>
    </row>
    <row r="1734" spans="1:11">
      <c r="A1734" s="4" t="str">
        <f>"20210115"</f>
        <v>20210115</v>
      </c>
      <c r="B1734" s="4" t="str">
        <f>"20210115"</f>
        <v>20210115</v>
      </c>
      <c r="C1734" s="4" t="str">
        <f t="shared" si="1065"/>
        <v>港股通组合费</v>
      </c>
      <c r="D1734" s="4" t="str">
        <f t="shared" si="1066"/>
        <v/>
      </c>
      <c r="E1734" s="4" t="str">
        <f t="shared" si="1067"/>
        <v/>
      </c>
      <c r="F1734" s="7">
        <v>0</v>
      </c>
      <c r="G1734" s="7">
        <v>0</v>
      </c>
      <c r="H1734" s="7">
        <v>0.05</v>
      </c>
      <c r="I1734" s="7">
        <v>-0.05</v>
      </c>
      <c r="J1734" s="7">
        <v>24.43</v>
      </c>
      <c r="K1734" s="7">
        <v>0</v>
      </c>
    </row>
    <row r="1735" spans="1:11">
      <c r="A1735" s="4" t="str">
        <f>"20210118"</f>
        <v>20210118</v>
      </c>
      <c r="B1735" s="4" t="str">
        <f>"20210118"</f>
        <v>20210118</v>
      </c>
      <c r="C1735" s="4" t="str">
        <f t="shared" si="1065"/>
        <v>港股通组合费</v>
      </c>
      <c r="D1735" s="4" t="str">
        <f t="shared" si="1066"/>
        <v/>
      </c>
      <c r="E1735" s="4" t="str">
        <f t="shared" si="1067"/>
        <v/>
      </c>
      <c r="F1735" s="7">
        <v>0</v>
      </c>
      <c r="G1735" s="7">
        <v>0</v>
      </c>
      <c r="H1735" s="7">
        <v>0.15</v>
      </c>
      <c r="I1735" s="7">
        <v>-0.15</v>
      </c>
      <c r="J1735" s="7">
        <v>24.28</v>
      </c>
      <c r="K1735" s="7">
        <v>0</v>
      </c>
    </row>
    <row r="1736" spans="1:11">
      <c r="A1736" s="4" t="str">
        <f>"20210119"</f>
        <v>20210119</v>
      </c>
      <c r="B1736" s="4" t="str">
        <f>"20210119"</f>
        <v>20210119</v>
      </c>
      <c r="C1736" s="4" t="str">
        <f t="shared" si="1065"/>
        <v>港股通组合费</v>
      </c>
      <c r="D1736" s="4" t="str">
        <f t="shared" si="1066"/>
        <v/>
      </c>
      <c r="E1736" s="4" t="str">
        <f t="shared" si="1067"/>
        <v/>
      </c>
      <c r="F1736" s="7">
        <v>0</v>
      </c>
      <c r="G1736" s="7">
        <v>0</v>
      </c>
      <c r="H1736" s="7">
        <v>0.05</v>
      </c>
      <c r="I1736" s="7">
        <v>-0.05</v>
      </c>
      <c r="J1736" s="7">
        <v>24.23</v>
      </c>
      <c r="K1736" s="7">
        <v>0</v>
      </c>
    </row>
    <row r="1737" spans="1:11">
      <c r="A1737" s="4" t="str">
        <f>"20210120"</f>
        <v>20210120</v>
      </c>
      <c r="B1737" s="4" t="str">
        <f>"20210120"</f>
        <v>20210120</v>
      </c>
      <c r="C1737" s="4" t="str">
        <f t="shared" si="1065"/>
        <v>港股通组合费</v>
      </c>
      <c r="D1737" s="4" t="str">
        <f t="shared" si="1066"/>
        <v/>
      </c>
      <c r="E1737" s="4" t="str">
        <f t="shared" si="1067"/>
        <v/>
      </c>
      <c r="F1737" s="7">
        <v>0</v>
      </c>
      <c r="G1737" s="7">
        <v>0</v>
      </c>
      <c r="H1737" s="7">
        <v>0.05</v>
      </c>
      <c r="I1737" s="7">
        <v>-0.05</v>
      </c>
      <c r="J1737" s="7">
        <v>24.18</v>
      </c>
      <c r="K1737" s="7">
        <v>0</v>
      </c>
    </row>
    <row r="1738" spans="1:11">
      <c r="A1738" s="4" t="str">
        <f>"20210121"</f>
        <v>20210121</v>
      </c>
      <c r="B1738" s="4" t="str">
        <f>"20210121"</f>
        <v>20210121</v>
      </c>
      <c r="C1738" s="4" t="str">
        <f t="shared" si="1065"/>
        <v>港股通组合费</v>
      </c>
      <c r="D1738" s="4" t="str">
        <f t="shared" si="1066"/>
        <v/>
      </c>
      <c r="E1738" s="4" t="str">
        <f t="shared" si="1067"/>
        <v/>
      </c>
      <c r="F1738" s="7">
        <v>0</v>
      </c>
      <c r="G1738" s="7">
        <v>0</v>
      </c>
      <c r="H1738" s="7">
        <v>0.05</v>
      </c>
      <c r="I1738" s="7">
        <v>-0.05</v>
      </c>
      <c r="J1738" s="7">
        <v>24.13</v>
      </c>
      <c r="K1738" s="7">
        <v>0</v>
      </c>
    </row>
    <row r="1739" spans="1:11">
      <c r="A1739" s="4" t="str">
        <f>"20210122"</f>
        <v>20210122</v>
      </c>
      <c r="B1739" s="4" t="str">
        <f>"20210122"</f>
        <v>20210122</v>
      </c>
      <c r="C1739" s="4" t="str">
        <f t="shared" si="1065"/>
        <v>港股通组合费</v>
      </c>
      <c r="D1739" s="4" t="str">
        <f t="shared" si="1066"/>
        <v/>
      </c>
      <c r="E1739" s="4" t="str">
        <f t="shared" si="1067"/>
        <v/>
      </c>
      <c r="F1739" s="7">
        <v>0</v>
      </c>
      <c r="G1739" s="7">
        <v>0</v>
      </c>
      <c r="H1739" s="7">
        <v>0.05</v>
      </c>
      <c r="I1739" s="7">
        <v>-0.05</v>
      </c>
      <c r="J1739" s="7">
        <v>24.08</v>
      </c>
      <c r="K1739" s="7">
        <v>0</v>
      </c>
    </row>
    <row r="1740" spans="1:11">
      <c r="A1740" s="4" t="str">
        <f>"20210125"</f>
        <v>20210125</v>
      </c>
      <c r="B1740" s="4" t="str">
        <f>"20210125"</f>
        <v>20210125</v>
      </c>
      <c r="C1740" s="4" t="str">
        <f t="shared" si="1065"/>
        <v>港股通组合费</v>
      </c>
      <c r="D1740" s="4" t="str">
        <f t="shared" si="1066"/>
        <v/>
      </c>
      <c r="E1740" s="4" t="str">
        <f t="shared" si="1067"/>
        <v/>
      </c>
      <c r="F1740" s="7">
        <v>0</v>
      </c>
      <c r="G1740" s="7">
        <v>0</v>
      </c>
      <c r="H1740" s="7">
        <v>0.15</v>
      </c>
      <c r="I1740" s="7">
        <v>-0.15</v>
      </c>
      <c r="J1740" s="7">
        <v>23.93</v>
      </c>
      <c r="K1740" s="7">
        <v>0</v>
      </c>
    </row>
    <row r="1741" spans="1:11">
      <c r="A1741" s="4" t="str">
        <f>"20210126"</f>
        <v>20210126</v>
      </c>
      <c r="B1741" s="4" t="str">
        <f>"20210126"</f>
        <v>20210126</v>
      </c>
      <c r="C1741" s="4" t="str">
        <f t="shared" si="1065"/>
        <v>港股通组合费</v>
      </c>
      <c r="D1741" s="4" t="str">
        <f t="shared" si="1066"/>
        <v/>
      </c>
      <c r="E1741" s="4" t="str">
        <f t="shared" si="1067"/>
        <v/>
      </c>
      <c r="F1741" s="7">
        <v>0</v>
      </c>
      <c r="G1741" s="7">
        <v>0</v>
      </c>
      <c r="H1741" s="7">
        <v>0.05</v>
      </c>
      <c r="I1741" s="7">
        <v>-0.05</v>
      </c>
      <c r="J1741" s="7">
        <v>23.88</v>
      </c>
      <c r="K1741" s="7">
        <v>0</v>
      </c>
    </row>
    <row r="1742" spans="1:11">
      <c r="A1742" s="4" t="str">
        <f>"20210127"</f>
        <v>20210127</v>
      </c>
      <c r="B1742" s="4" t="str">
        <f>"20210127"</f>
        <v>20210127</v>
      </c>
      <c r="C1742" s="4" t="str">
        <f t="shared" si="1065"/>
        <v>港股通组合费</v>
      </c>
      <c r="D1742" s="4" t="str">
        <f t="shared" si="1066"/>
        <v/>
      </c>
      <c r="E1742" s="4" t="str">
        <f t="shared" si="1067"/>
        <v/>
      </c>
      <c r="F1742" s="7">
        <v>0</v>
      </c>
      <c r="G1742" s="7">
        <v>0</v>
      </c>
      <c r="H1742" s="7">
        <v>0.05</v>
      </c>
      <c r="I1742" s="7">
        <v>-0.05</v>
      </c>
      <c r="J1742" s="7">
        <v>23.83</v>
      </c>
      <c r="K1742" s="7">
        <v>0</v>
      </c>
    </row>
    <row r="1743" spans="1:11">
      <c r="A1743" s="4" t="str">
        <f>"20210128"</f>
        <v>20210128</v>
      </c>
      <c r="B1743" s="4" t="str">
        <f>"20210128"</f>
        <v>20210128</v>
      </c>
      <c r="C1743" s="4" t="str">
        <f t="shared" si="1065"/>
        <v>港股通组合费</v>
      </c>
      <c r="D1743" s="4" t="str">
        <f t="shared" si="1066"/>
        <v/>
      </c>
      <c r="E1743" s="4" t="str">
        <f t="shared" si="1067"/>
        <v/>
      </c>
      <c r="F1743" s="7">
        <v>0</v>
      </c>
      <c r="G1743" s="7">
        <v>0</v>
      </c>
      <c r="H1743" s="7">
        <v>0.05</v>
      </c>
      <c r="I1743" s="7">
        <v>-0.05</v>
      </c>
      <c r="J1743" s="7">
        <v>23.78</v>
      </c>
      <c r="K1743" s="7">
        <v>0</v>
      </c>
    </row>
    <row r="1744" spans="1:11">
      <c r="A1744" s="4" t="str">
        <f>"20210129"</f>
        <v>20210129</v>
      </c>
      <c r="B1744" s="4" t="str">
        <f>"20210129"</f>
        <v>20210129</v>
      </c>
      <c r="C1744" s="4" t="str">
        <f t="shared" si="1065"/>
        <v>港股通组合费</v>
      </c>
      <c r="D1744" s="4" t="str">
        <f t="shared" si="1066"/>
        <v/>
      </c>
      <c r="E1744" s="4" t="str">
        <f t="shared" si="1067"/>
        <v/>
      </c>
      <c r="F1744" s="7">
        <v>0</v>
      </c>
      <c r="G1744" s="7">
        <v>0</v>
      </c>
      <c r="H1744" s="7">
        <v>0.05</v>
      </c>
      <c r="I1744" s="7">
        <v>-0.05</v>
      </c>
      <c r="J1744" s="7">
        <v>23.73</v>
      </c>
      <c r="K1744" s="7">
        <v>0</v>
      </c>
    </row>
    <row r="1745" spans="1:11">
      <c r="A1745" s="4" t="str">
        <f>"20210201"</f>
        <v>20210201</v>
      </c>
      <c r="B1745" s="4" t="str">
        <f>"20210201"</f>
        <v>20210201</v>
      </c>
      <c r="C1745" s="4" t="str">
        <f t="shared" si="1065"/>
        <v>港股通组合费</v>
      </c>
      <c r="D1745" s="4" t="str">
        <f t="shared" si="1066"/>
        <v/>
      </c>
      <c r="E1745" s="4" t="str">
        <f t="shared" si="1067"/>
        <v/>
      </c>
      <c r="F1745" s="7">
        <v>0</v>
      </c>
      <c r="G1745" s="7">
        <v>0</v>
      </c>
      <c r="H1745" s="7">
        <v>0.15</v>
      </c>
      <c r="I1745" s="7">
        <v>-0.15</v>
      </c>
      <c r="J1745" s="7">
        <v>23.58</v>
      </c>
      <c r="K1745" s="7">
        <v>0</v>
      </c>
    </row>
    <row r="1746" spans="1:11">
      <c r="A1746" s="4" t="str">
        <f>"20210202"</f>
        <v>20210202</v>
      </c>
      <c r="B1746" s="4" t="str">
        <f>"20210202"</f>
        <v>20210202</v>
      </c>
      <c r="C1746" s="4" t="str">
        <f t="shared" si="1065"/>
        <v>港股通组合费</v>
      </c>
      <c r="D1746" s="4" t="str">
        <f t="shared" si="1066"/>
        <v/>
      </c>
      <c r="E1746" s="4" t="str">
        <f t="shared" si="1067"/>
        <v/>
      </c>
      <c r="F1746" s="7">
        <v>0</v>
      </c>
      <c r="G1746" s="7">
        <v>0</v>
      </c>
      <c r="H1746" s="7">
        <v>0.05</v>
      </c>
      <c r="I1746" s="7">
        <v>-0.05</v>
      </c>
      <c r="J1746" s="7">
        <v>23.53</v>
      </c>
      <c r="K1746" s="7">
        <v>0</v>
      </c>
    </row>
    <row r="1747" spans="1:11">
      <c r="A1747" s="4" t="str">
        <f>"20210203"</f>
        <v>20210203</v>
      </c>
      <c r="B1747" s="4" t="str">
        <f>"20210203"</f>
        <v>20210203</v>
      </c>
      <c r="C1747" s="4" t="str">
        <f t="shared" si="1065"/>
        <v>港股通组合费</v>
      </c>
      <c r="D1747" s="4" t="str">
        <f t="shared" si="1066"/>
        <v/>
      </c>
      <c r="E1747" s="4" t="str">
        <f t="shared" si="1067"/>
        <v/>
      </c>
      <c r="F1747" s="7">
        <v>0</v>
      </c>
      <c r="G1747" s="7">
        <v>0</v>
      </c>
      <c r="H1747" s="7">
        <v>0.05</v>
      </c>
      <c r="I1747" s="7">
        <v>-0.05</v>
      </c>
      <c r="J1747" s="7">
        <v>23.48</v>
      </c>
      <c r="K1747" s="7">
        <v>0</v>
      </c>
    </row>
    <row r="1748" spans="1:11">
      <c r="A1748" s="4" t="str">
        <f>"20210204"</f>
        <v>20210204</v>
      </c>
      <c r="B1748" s="4" t="str">
        <f>"20210204"</f>
        <v>20210204</v>
      </c>
      <c r="C1748" s="4" t="str">
        <f t="shared" si="1065"/>
        <v>港股通组合费</v>
      </c>
      <c r="D1748" s="4" t="str">
        <f t="shared" si="1066"/>
        <v/>
      </c>
      <c r="E1748" s="4" t="str">
        <f t="shared" si="1067"/>
        <v/>
      </c>
      <c r="F1748" s="7">
        <v>0</v>
      </c>
      <c r="G1748" s="7">
        <v>0</v>
      </c>
      <c r="H1748" s="7">
        <v>0.05</v>
      </c>
      <c r="I1748" s="7">
        <v>-0.05</v>
      </c>
      <c r="J1748" s="7">
        <v>23.43</v>
      </c>
      <c r="K1748" s="7">
        <v>0</v>
      </c>
    </row>
    <row r="1749" spans="1:11">
      <c r="A1749" s="4" t="str">
        <f>"20210205"</f>
        <v>20210205</v>
      </c>
      <c r="B1749" s="4" t="str">
        <f>"20210205"</f>
        <v>20210205</v>
      </c>
      <c r="C1749" s="4" t="str">
        <f t="shared" si="1065"/>
        <v>港股通组合费</v>
      </c>
      <c r="D1749" s="4" t="str">
        <f t="shared" si="1066"/>
        <v/>
      </c>
      <c r="E1749" s="4" t="str">
        <f t="shared" si="1067"/>
        <v/>
      </c>
      <c r="F1749" s="7">
        <v>0</v>
      </c>
      <c r="G1749" s="7">
        <v>0</v>
      </c>
      <c r="H1749" s="7">
        <v>0.05</v>
      </c>
      <c r="I1749" s="7">
        <v>-0.05</v>
      </c>
      <c r="J1749" s="7">
        <v>23.38</v>
      </c>
      <c r="K1749" s="7">
        <v>0</v>
      </c>
    </row>
    <row r="1750" spans="1:11">
      <c r="A1750" s="4" t="str">
        <f>"20210208"</f>
        <v>20210208</v>
      </c>
      <c r="B1750" s="4" t="str">
        <f>"20210208"</f>
        <v>20210208</v>
      </c>
      <c r="C1750" s="4" t="str">
        <f t="shared" si="1065"/>
        <v>港股通组合费</v>
      </c>
      <c r="D1750" s="4" t="str">
        <f t="shared" si="1066"/>
        <v/>
      </c>
      <c r="E1750" s="4" t="str">
        <f t="shared" si="1067"/>
        <v/>
      </c>
      <c r="F1750" s="7">
        <v>0</v>
      </c>
      <c r="G1750" s="7">
        <v>0</v>
      </c>
      <c r="H1750" s="7">
        <v>0.15</v>
      </c>
      <c r="I1750" s="7">
        <v>-0.15</v>
      </c>
      <c r="J1750" s="7">
        <v>23.23</v>
      </c>
      <c r="K1750" s="7">
        <v>0</v>
      </c>
    </row>
    <row r="1751" spans="1:11">
      <c r="A1751" s="4" t="str">
        <f>"20210209"</f>
        <v>20210209</v>
      </c>
      <c r="B1751" s="4" t="str">
        <f>"20210209"</f>
        <v>20210209</v>
      </c>
      <c r="C1751" s="4" t="str">
        <f t="shared" si="1065"/>
        <v>港股通组合费</v>
      </c>
      <c r="D1751" s="4" t="str">
        <f t="shared" si="1066"/>
        <v/>
      </c>
      <c r="E1751" s="4" t="str">
        <f t="shared" si="1067"/>
        <v/>
      </c>
      <c r="F1751" s="7">
        <v>0</v>
      </c>
      <c r="G1751" s="7">
        <v>0</v>
      </c>
      <c r="H1751" s="7">
        <v>0.05</v>
      </c>
      <c r="I1751" s="7">
        <v>-0.05</v>
      </c>
      <c r="J1751" s="7">
        <v>23.18</v>
      </c>
      <c r="K1751" s="7">
        <v>0</v>
      </c>
    </row>
    <row r="1752" spans="1:11">
      <c r="A1752" s="4" t="str">
        <f>"20210210"</f>
        <v>20210210</v>
      </c>
      <c r="B1752" s="4" t="str">
        <f>"20210210"</f>
        <v>20210210</v>
      </c>
      <c r="C1752" s="4" t="str">
        <f t="shared" si="1065"/>
        <v>港股通组合费</v>
      </c>
      <c r="D1752" s="4" t="str">
        <f t="shared" si="1066"/>
        <v/>
      </c>
      <c r="E1752" s="4" t="str">
        <f t="shared" si="1067"/>
        <v/>
      </c>
      <c r="F1752" s="7">
        <v>0</v>
      </c>
      <c r="G1752" s="7">
        <v>0</v>
      </c>
      <c r="H1752" s="7">
        <v>0.05</v>
      </c>
      <c r="I1752" s="7">
        <v>-0.05</v>
      </c>
      <c r="J1752" s="7">
        <v>23.13</v>
      </c>
      <c r="K1752" s="7">
        <v>0</v>
      </c>
    </row>
    <row r="1753" spans="1:11">
      <c r="A1753" s="4" t="str">
        <f t="shared" ref="A1753:A1755" si="1068">"20210218"</f>
        <v>20210218</v>
      </c>
      <c r="B1753" s="4" t="str">
        <f t="shared" ref="B1753:B1755" si="1069">"20210218"</f>
        <v>20210218</v>
      </c>
      <c r="C1753" s="4" t="str">
        <f>"银行转证券"</f>
        <v>银行转证券</v>
      </c>
      <c r="D1753" s="4"/>
      <c r="E1753" s="4"/>
      <c r="F1753" s="4">
        <v>0</v>
      </c>
      <c r="G1753" s="4">
        <v>0</v>
      </c>
      <c r="H1753" s="4">
        <v>0</v>
      </c>
      <c r="I1753" s="4">
        <v>25000</v>
      </c>
      <c r="J1753" s="4">
        <v>25023.13</v>
      </c>
      <c r="K1753" s="4">
        <v>0</v>
      </c>
    </row>
    <row r="1754" spans="1:11">
      <c r="A1754" s="4" t="str">
        <f t="shared" si="1068"/>
        <v>20210218</v>
      </c>
      <c r="B1754" s="4" t="str">
        <f t="shared" si="1069"/>
        <v>20210218</v>
      </c>
      <c r="C1754" s="4" t="str">
        <f>"基金申购拨出"</f>
        <v>基金申购拨出</v>
      </c>
      <c r="D1754" s="4" t="str">
        <f>"AA0007"</f>
        <v>AA0007</v>
      </c>
      <c r="E1754" s="4" t="str">
        <f>"银河水星1号集合"</f>
        <v>银河水星1号集合</v>
      </c>
      <c r="F1754" s="4">
        <v>0</v>
      </c>
      <c r="G1754" s="4">
        <v>0</v>
      </c>
      <c r="H1754" s="4">
        <v>0</v>
      </c>
      <c r="I1754" s="4">
        <v>-5806.11</v>
      </c>
      <c r="J1754" s="4">
        <v>19217.02</v>
      </c>
      <c r="K1754" s="4">
        <v>0</v>
      </c>
    </row>
    <row r="1755" spans="1:11">
      <c r="A1755" s="4" t="str">
        <f t="shared" si="1068"/>
        <v>20210218</v>
      </c>
      <c r="B1755" s="4" t="str">
        <f t="shared" si="1069"/>
        <v>20210218</v>
      </c>
      <c r="C1755" s="4" t="str">
        <f t="shared" ref="C1755:C1776" si="1070">"港股通组合费"</f>
        <v>港股通组合费</v>
      </c>
      <c r="D1755" s="4" t="str">
        <f t="shared" ref="D1755:D1776" si="1071">""</f>
        <v/>
      </c>
      <c r="E1755" s="4" t="str">
        <f t="shared" ref="E1755:E1776" si="1072">""</f>
        <v/>
      </c>
      <c r="F1755" s="7">
        <v>0</v>
      </c>
      <c r="G1755" s="7">
        <v>0</v>
      </c>
      <c r="H1755" s="7">
        <v>0.4</v>
      </c>
      <c r="I1755" s="7">
        <v>-0.4</v>
      </c>
      <c r="J1755" s="7">
        <v>19216.62</v>
      </c>
      <c r="K1755" s="7">
        <v>0</v>
      </c>
    </row>
    <row r="1756" spans="1:11">
      <c r="A1756" s="4" t="str">
        <f>"20210219"</f>
        <v>20210219</v>
      </c>
      <c r="B1756" s="4" t="str">
        <f>"20210219"</f>
        <v>20210219</v>
      </c>
      <c r="C1756" s="4" t="str">
        <f t="shared" si="1070"/>
        <v>港股通组合费</v>
      </c>
      <c r="D1756" s="4" t="str">
        <f t="shared" si="1071"/>
        <v/>
      </c>
      <c r="E1756" s="4" t="str">
        <f t="shared" si="1072"/>
        <v/>
      </c>
      <c r="F1756" s="7">
        <v>0</v>
      </c>
      <c r="G1756" s="7">
        <v>0</v>
      </c>
      <c r="H1756" s="7">
        <v>0.05</v>
      </c>
      <c r="I1756" s="7">
        <v>-0.05</v>
      </c>
      <c r="J1756" s="7">
        <v>19216.57</v>
      </c>
      <c r="K1756" s="7">
        <v>0</v>
      </c>
    </row>
    <row r="1757" spans="1:11">
      <c r="A1757" s="4" t="str">
        <f>"20210222"</f>
        <v>20210222</v>
      </c>
      <c r="B1757" s="4" t="str">
        <f>"20210218"</f>
        <v>20210218</v>
      </c>
      <c r="C1757" s="4" t="str">
        <f>"港股通股票买入"</f>
        <v>港股通股票买入</v>
      </c>
      <c r="D1757" s="4" t="str">
        <f>"01099"</f>
        <v>01099</v>
      </c>
      <c r="E1757" s="4" t="str">
        <f>"国药控股"</f>
        <v>国药控股</v>
      </c>
      <c r="F1757" s="7">
        <v>15.52</v>
      </c>
      <c r="G1757" s="7">
        <v>1200</v>
      </c>
      <c r="H1757" s="7">
        <v>18625.23</v>
      </c>
      <c r="I1757" s="7">
        <v>-18657.17</v>
      </c>
      <c r="J1757" s="7">
        <v>559.4</v>
      </c>
      <c r="K1757" s="7">
        <v>2800</v>
      </c>
    </row>
    <row r="1758" spans="1:11">
      <c r="A1758" s="4" t="str">
        <f>"20210222"</f>
        <v>20210222</v>
      </c>
      <c r="B1758" s="4" t="str">
        <f>"20210222"</f>
        <v>20210222</v>
      </c>
      <c r="C1758" s="4" t="str">
        <f t="shared" si="1070"/>
        <v>港股通组合费</v>
      </c>
      <c r="D1758" s="4" t="str">
        <f t="shared" si="1071"/>
        <v/>
      </c>
      <c r="E1758" s="4" t="str">
        <f t="shared" si="1072"/>
        <v/>
      </c>
      <c r="F1758" s="7">
        <v>0</v>
      </c>
      <c r="G1758" s="7">
        <v>0</v>
      </c>
      <c r="H1758" s="7">
        <v>0.15</v>
      </c>
      <c r="I1758" s="7">
        <v>-0.15</v>
      </c>
      <c r="J1758" s="7">
        <v>559.25</v>
      </c>
      <c r="K1758" s="7">
        <v>0</v>
      </c>
    </row>
    <row r="1759" spans="1:11">
      <c r="A1759" s="4" t="str">
        <f>"20210223"</f>
        <v>20210223</v>
      </c>
      <c r="B1759" s="4" t="str">
        <f>"20210223"</f>
        <v>20210223</v>
      </c>
      <c r="C1759" s="4" t="str">
        <f t="shared" si="1070"/>
        <v>港股通组合费</v>
      </c>
      <c r="D1759" s="4" t="str">
        <f t="shared" si="1071"/>
        <v/>
      </c>
      <c r="E1759" s="4" t="str">
        <f t="shared" si="1072"/>
        <v/>
      </c>
      <c r="F1759" s="7">
        <v>0</v>
      </c>
      <c r="G1759" s="7">
        <v>0</v>
      </c>
      <c r="H1759" s="7">
        <v>0.06</v>
      </c>
      <c r="I1759" s="7">
        <v>-0.06</v>
      </c>
      <c r="J1759" s="7">
        <v>559.19</v>
      </c>
      <c r="K1759" s="7">
        <v>0</v>
      </c>
    </row>
    <row r="1760" spans="1:11">
      <c r="A1760" s="4" t="str">
        <f>"20210224"</f>
        <v>20210224</v>
      </c>
      <c r="B1760" s="4" t="str">
        <f>"20210224"</f>
        <v>20210224</v>
      </c>
      <c r="C1760" s="4" t="str">
        <f t="shared" si="1070"/>
        <v>港股通组合费</v>
      </c>
      <c r="D1760" s="4" t="str">
        <f t="shared" si="1071"/>
        <v/>
      </c>
      <c r="E1760" s="4" t="str">
        <f t="shared" si="1072"/>
        <v/>
      </c>
      <c r="F1760" s="7">
        <v>0</v>
      </c>
      <c r="G1760" s="7">
        <v>0</v>
      </c>
      <c r="H1760" s="7">
        <v>0.06</v>
      </c>
      <c r="I1760" s="7">
        <v>-0.06</v>
      </c>
      <c r="J1760" s="7">
        <v>559.13</v>
      </c>
      <c r="K1760" s="7">
        <v>0</v>
      </c>
    </row>
    <row r="1761" spans="1:11">
      <c r="A1761" s="4" t="str">
        <f>"20210225"</f>
        <v>20210225</v>
      </c>
      <c r="B1761" s="4" t="str">
        <f>"20210225"</f>
        <v>20210225</v>
      </c>
      <c r="C1761" s="4" t="str">
        <f t="shared" si="1070"/>
        <v>港股通组合费</v>
      </c>
      <c r="D1761" s="4" t="str">
        <f t="shared" si="1071"/>
        <v/>
      </c>
      <c r="E1761" s="4" t="str">
        <f t="shared" si="1072"/>
        <v/>
      </c>
      <c r="F1761" s="7">
        <v>0</v>
      </c>
      <c r="G1761" s="7">
        <v>0</v>
      </c>
      <c r="H1761" s="7">
        <v>0.06</v>
      </c>
      <c r="I1761" s="7">
        <v>-0.06</v>
      </c>
      <c r="J1761" s="7">
        <v>559.07</v>
      </c>
      <c r="K1761" s="7">
        <v>0</v>
      </c>
    </row>
    <row r="1762" spans="1:11">
      <c r="A1762" s="4" t="str">
        <f>"20210226"</f>
        <v>20210226</v>
      </c>
      <c r="B1762" s="4" t="str">
        <f>"20210226"</f>
        <v>20210226</v>
      </c>
      <c r="C1762" s="4" t="str">
        <f t="shared" si="1070"/>
        <v>港股通组合费</v>
      </c>
      <c r="D1762" s="4" t="str">
        <f t="shared" si="1071"/>
        <v/>
      </c>
      <c r="E1762" s="4" t="str">
        <f t="shared" si="1072"/>
        <v/>
      </c>
      <c r="F1762" s="7">
        <v>0</v>
      </c>
      <c r="G1762" s="7">
        <v>0</v>
      </c>
      <c r="H1762" s="7">
        <v>0.06</v>
      </c>
      <c r="I1762" s="7">
        <v>-0.06</v>
      </c>
      <c r="J1762" s="7">
        <v>559.01</v>
      </c>
      <c r="K1762" s="7">
        <v>0</v>
      </c>
    </row>
    <row r="1763" spans="1:11">
      <c r="A1763" s="4" t="str">
        <f>"20210301"</f>
        <v>20210301</v>
      </c>
      <c r="B1763" s="4" t="str">
        <f>"20210301"</f>
        <v>20210301</v>
      </c>
      <c r="C1763" s="4" t="str">
        <f t="shared" si="1070"/>
        <v>港股通组合费</v>
      </c>
      <c r="D1763" s="4" t="str">
        <f t="shared" si="1071"/>
        <v/>
      </c>
      <c r="E1763" s="4" t="str">
        <f t="shared" si="1072"/>
        <v/>
      </c>
      <c r="F1763" s="7">
        <v>0</v>
      </c>
      <c r="G1763" s="7">
        <v>0</v>
      </c>
      <c r="H1763" s="7">
        <v>0.18</v>
      </c>
      <c r="I1763" s="7">
        <v>-0.18</v>
      </c>
      <c r="J1763" s="7">
        <v>558.83</v>
      </c>
      <c r="K1763" s="7">
        <v>0</v>
      </c>
    </row>
    <row r="1764" spans="1:11">
      <c r="A1764" s="4" t="str">
        <f>"20210302"</f>
        <v>20210302</v>
      </c>
      <c r="B1764" s="4" t="str">
        <f>"20210302"</f>
        <v>20210302</v>
      </c>
      <c r="C1764" s="4" t="str">
        <f t="shared" si="1070"/>
        <v>港股通组合费</v>
      </c>
      <c r="D1764" s="4" t="str">
        <f t="shared" si="1071"/>
        <v/>
      </c>
      <c r="E1764" s="4" t="str">
        <f t="shared" si="1072"/>
        <v/>
      </c>
      <c r="F1764" s="7">
        <v>0</v>
      </c>
      <c r="G1764" s="7">
        <v>0</v>
      </c>
      <c r="H1764" s="7">
        <v>0.06</v>
      </c>
      <c r="I1764" s="7">
        <v>-0.06</v>
      </c>
      <c r="J1764" s="7">
        <v>558.77</v>
      </c>
      <c r="K1764" s="7">
        <v>0</v>
      </c>
    </row>
    <row r="1765" spans="1:11">
      <c r="A1765" s="4" t="str">
        <f>"20210303"</f>
        <v>20210303</v>
      </c>
      <c r="B1765" s="4" t="str">
        <f>"20210303"</f>
        <v>20210303</v>
      </c>
      <c r="C1765" s="4" t="str">
        <f t="shared" si="1070"/>
        <v>港股通组合费</v>
      </c>
      <c r="D1765" s="4" t="str">
        <f t="shared" si="1071"/>
        <v/>
      </c>
      <c r="E1765" s="4" t="str">
        <f t="shared" si="1072"/>
        <v/>
      </c>
      <c r="F1765" s="7">
        <v>0</v>
      </c>
      <c r="G1765" s="7">
        <v>0</v>
      </c>
      <c r="H1765" s="7">
        <v>0.06</v>
      </c>
      <c r="I1765" s="7">
        <v>-0.06</v>
      </c>
      <c r="J1765" s="7">
        <v>558.71</v>
      </c>
      <c r="K1765" s="7">
        <v>0</v>
      </c>
    </row>
    <row r="1766" spans="1:11">
      <c r="A1766" s="4" t="str">
        <f>"20210304"</f>
        <v>20210304</v>
      </c>
      <c r="B1766" s="4" t="str">
        <f>"20210304"</f>
        <v>20210304</v>
      </c>
      <c r="C1766" s="4" t="str">
        <f t="shared" si="1070"/>
        <v>港股通组合费</v>
      </c>
      <c r="D1766" s="4" t="str">
        <f t="shared" si="1071"/>
        <v/>
      </c>
      <c r="E1766" s="4" t="str">
        <f t="shared" si="1072"/>
        <v/>
      </c>
      <c r="F1766" s="7">
        <v>0</v>
      </c>
      <c r="G1766" s="7">
        <v>0</v>
      </c>
      <c r="H1766" s="7">
        <v>0.06</v>
      </c>
      <c r="I1766" s="7">
        <v>-0.06</v>
      </c>
      <c r="J1766" s="7">
        <v>558.65</v>
      </c>
      <c r="K1766" s="7">
        <v>0</v>
      </c>
    </row>
    <row r="1767" spans="1:11">
      <c r="A1767" s="4" t="str">
        <f>"20210305"</f>
        <v>20210305</v>
      </c>
      <c r="B1767" s="4" t="str">
        <f>"20210305"</f>
        <v>20210305</v>
      </c>
      <c r="C1767" s="4" t="str">
        <f t="shared" si="1070"/>
        <v>港股通组合费</v>
      </c>
      <c r="D1767" s="4" t="str">
        <f t="shared" si="1071"/>
        <v/>
      </c>
      <c r="E1767" s="4" t="str">
        <f t="shared" si="1072"/>
        <v/>
      </c>
      <c r="F1767" s="7">
        <v>0</v>
      </c>
      <c r="G1767" s="7">
        <v>0</v>
      </c>
      <c r="H1767" s="7">
        <v>0.06</v>
      </c>
      <c r="I1767" s="7">
        <v>-0.06</v>
      </c>
      <c r="J1767" s="7">
        <v>558.59</v>
      </c>
      <c r="K1767" s="7">
        <v>0</v>
      </c>
    </row>
    <row r="1768" spans="1:11">
      <c r="A1768" s="4" t="str">
        <f>"20210308"</f>
        <v>20210308</v>
      </c>
      <c r="B1768" s="4" t="str">
        <f>"20210308"</f>
        <v>20210308</v>
      </c>
      <c r="C1768" s="4" t="str">
        <f t="shared" si="1070"/>
        <v>港股通组合费</v>
      </c>
      <c r="D1768" s="4" t="str">
        <f t="shared" si="1071"/>
        <v/>
      </c>
      <c r="E1768" s="4" t="str">
        <f t="shared" si="1072"/>
        <v/>
      </c>
      <c r="F1768" s="7">
        <v>0</v>
      </c>
      <c r="G1768" s="7">
        <v>0</v>
      </c>
      <c r="H1768" s="7">
        <v>0.18</v>
      </c>
      <c r="I1768" s="7">
        <v>-0.18</v>
      </c>
      <c r="J1768" s="7">
        <v>558.41</v>
      </c>
      <c r="K1768" s="7">
        <v>0</v>
      </c>
    </row>
    <row r="1769" spans="1:11">
      <c r="A1769" s="4" t="str">
        <f>"20210309"</f>
        <v>20210309</v>
      </c>
      <c r="B1769" s="4" t="str">
        <f>"20210309"</f>
        <v>20210309</v>
      </c>
      <c r="C1769" s="4" t="str">
        <f t="shared" si="1070"/>
        <v>港股通组合费</v>
      </c>
      <c r="D1769" s="4" t="str">
        <f t="shared" si="1071"/>
        <v/>
      </c>
      <c r="E1769" s="4" t="str">
        <f t="shared" si="1072"/>
        <v/>
      </c>
      <c r="F1769" s="7">
        <v>0</v>
      </c>
      <c r="G1769" s="7">
        <v>0</v>
      </c>
      <c r="H1769" s="7">
        <v>0.06</v>
      </c>
      <c r="I1769" s="7">
        <v>-0.06</v>
      </c>
      <c r="J1769" s="7">
        <v>558.35</v>
      </c>
      <c r="K1769" s="7">
        <v>0</v>
      </c>
    </row>
    <row r="1770" spans="1:11">
      <c r="A1770" s="4" t="str">
        <f>"20210310"</f>
        <v>20210310</v>
      </c>
      <c r="B1770" s="4" t="str">
        <f>"20210310"</f>
        <v>20210310</v>
      </c>
      <c r="C1770" s="4" t="str">
        <f t="shared" si="1070"/>
        <v>港股通组合费</v>
      </c>
      <c r="D1770" s="4" t="str">
        <f t="shared" si="1071"/>
        <v/>
      </c>
      <c r="E1770" s="4" t="str">
        <f t="shared" si="1072"/>
        <v/>
      </c>
      <c r="F1770" s="7">
        <v>0</v>
      </c>
      <c r="G1770" s="7">
        <v>0</v>
      </c>
      <c r="H1770" s="7">
        <v>0.06</v>
      </c>
      <c r="I1770" s="7">
        <v>-0.06</v>
      </c>
      <c r="J1770" s="7">
        <v>558.29</v>
      </c>
      <c r="K1770" s="7">
        <v>0</v>
      </c>
    </row>
    <row r="1771" spans="1:11">
      <c r="A1771" s="4" t="str">
        <f>"20210311"</f>
        <v>20210311</v>
      </c>
      <c r="B1771" s="4" t="str">
        <f>"20210311"</f>
        <v>20210311</v>
      </c>
      <c r="C1771" s="4" t="str">
        <f t="shared" si="1070"/>
        <v>港股通组合费</v>
      </c>
      <c r="D1771" s="4" t="str">
        <f t="shared" si="1071"/>
        <v/>
      </c>
      <c r="E1771" s="4" t="str">
        <f t="shared" si="1072"/>
        <v/>
      </c>
      <c r="F1771" s="7">
        <v>0</v>
      </c>
      <c r="G1771" s="7">
        <v>0</v>
      </c>
      <c r="H1771" s="7">
        <v>0.06</v>
      </c>
      <c r="I1771" s="7">
        <v>-0.06</v>
      </c>
      <c r="J1771" s="7">
        <v>558.23</v>
      </c>
      <c r="K1771" s="7">
        <v>0</v>
      </c>
    </row>
    <row r="1772" spans="1:11">
      <c r="A1772" s="4" t="str">
        <f>"20210312"</f>
        <v>20210312</v>
      </c>
      <c r="B1772" s="4" t="str">
        <f>"20210312"</f>
        <v>20210312</v>
      </c>
      <c r="C1772" s="4" t="str">
        <f t="shared" si="1070"/>
        <v>港股通组合费</v>
      </c>
      <c r="D1772" s="4" t="str">
        <f t="shared" si="1071"/>
        <v/>
      </c>
      <c r="E1772" s="4" t="str">
        <f t="shared" si="1072"/>
        <v/>
      </c>
      <c r="F1772" s="7">
        <v>0</v>
      </c>
      <c r="G1772" s="7">
        <v>0</v>
      </c>
      <c r="H1772" s="7">
        <v>0.06</v>
      </c>
      <c r="I1772" s="7">
        <v>-0.06</v>
      </c>
      <c r="J1772" s="7">
        <v>558.17</v>
      </c>
      <c r="K1772" s="7">
        <v>0</v>
      </c>
    </row>
    <row r="1773" spans="1:11">
      <c r="A1773" s="4" t="str">
        <f>"20210315"</f>
        <v>20210315</v>
      </c>
      <c r="B1773" s="4" t="str">
        <f>"20210315"</f>
        <v>20210315</v>
      </c>
      <c r="C1773" s="4" t="str">
        <f t="shared" si="1070"/>
        <v>港股通组合费</v>
      </c>
      <c r="D1773" s="4" t="str">
        <f t="shared" si="1071"/>
        <v/>
      </c>
      <c r="E1773" s="4" t="str">
        <f t="shared" si="1072"/>
        <v/>
      </c>
      <c r="F1773" s="7">
        <v>0</v>
      </c>
      <c r="G1773" s="7">
        <v>0</v>
      </c>
      <c r="H1773" s="7">
        <v>0.18</v>
      </c>
      <c r="I1773" s="7">
        <v>-0.18</v>
      </c>
      <c r="J1773" s="7">
        <v>557.99</v>
      </c>
      <c r="K1773" s="7">
        <v>0</v>
      </c>
    </row>
    <row r="1774" spans="1:11">
      <c r="A1774" s="4" t="str">
        <f>"20210316"</f>
        <v>20210316</v>
      </c>
      <c r="B1774" s="4" t="str">
        <f>"20210316"</f>
        <v>20210316</v>
      </c>
      <c r="C1774" s="4" t="str">
        <f t="shared" si="1070"/>
        <v>港股通组合费</v>
      </c>
      <c r="D1774" s="4" t="str">
        <f t="shared" si="1071"/>
        <v/>
      </c>
      <c r="E1774" s="4" t="str">
        <f t="shared" si="1072"/>
        <v/>
      </c>
      <c r="F1774" s="7">
        <v>0</v>
      </c>
      <c r="G1774" s="7">
        <v>0</v>
      </c>
      <c r="H1774" s="7">
        <v>0.06</v>
      </c>
      <c r="I1774" s="7">
        <v>-0.06</v>
      </c>
      <c r="J1774" s="7">
        <v>557.93</v>
      </c>
      <c r="K1774" s="7">
        <v>0</v>
      </c>
    </row>
    <row r="1775" spans="1:11">
      <c r="A1775" s="4" t="str">
        <f>"20210317"</f>
        <v>20210317</v>
      </c>
      <c r="B1775" s="4" t="str">
        <f>"20210317"</f>
        <v>20210317</v>
      </c>
      <c r="C1775" s="4" t="str">
        <f t="shared" si="1070"/>
        <v>港股通组合费</v>
      </c>
      <c r="D1775" s="4" t="str">
        <f t="shared" si="1071"/>
        <v/>
      </c>
      <c r="E1775" s="4" t="str">
        <f t="shared" si="1072"/>
        <v/>
      </c>
      <c r="F1775" s="7">
        <v>0</v>
      </c>
      <c r="G1775" s="7">
        <v>0</v>
      </c>
      <c r="H1775" s="7">
        <v>0.06</v>
      </c>
      <c r="I1775" s="7">
        <v>-0.06</v>
      </c>
      <c r="J1775" s="7">
        <v>557.87</v>
      </c>
      <c r="K1775" s="7">
        <v>0</v>
      </c>
    </row>
    <row r="1776" spans="1:11">
      <c r="A1776" s="4" t="str">
        <f>"20210318"</f>
        <v>20210318</v>
      </c>
      <c r="B1776" s="4" t="str">
        <f>"20210318"</f>
        <v>20210318</v>
      </c>
      <c r="C1776" s="4" t="str">
        <f t="shared" si="1070"/>
        <v>港股通组合费</v>
      </c>
      <c r="D1776" s="4" t="str">
        <f t="shared" si="1071"/>
        <v/>
      </c>
      <c r="E1776" s="4" t="str">
        <f t="shared" si="1072"/>
        <v/>
      </c>
      <c r="F1776" s="7">
        <v>0</v>
      </c>
      <c r="G1776" s="7">
        <v>0</v>
      </c>
      <c r="H1776" s="7">
        <v>0.06</v>
      </c>
      <c r="I1776" s="7">
        <v>-0.06</v>
      </c>
      <c r="J1776" s="7">
        <v>557.81</v>
      </c>
      <c r="K1776" s="7">
        <v>0</v>
      </c>
    </row>
    <row r="1777" spans="1:11">
      <c r="A1777" s="4" t="str">
        <f>"20210319"</f>
        <v>20210319</v>
      </c>
      <c r="B1777" s="4" t="str">
        <f>"20210319"</f>
        <v>20210319</v>
      </c>
      <c r="C1777" s="4" t="str">
        <f>"利息归本"</f>
        <v>利息归本</v>
      </c>
      <c r="D1777" s="4"/>
      <c r="E1777" s="4"/>
      <c r="F1777" s="4">
        <v>0</v>
      </c>
      <c r="G1777" s="4">
        <v>0</v>
      </c>
      <c r="H1777" s="4">
        <v>0</v>
      </c>
      <c r="I1777" s="4">
        <v>0.96</v>
      </c>
      <c r="J1777" s="4">
        <v>558.77</v>
      </c>
      <c r="K1777" s="4">
        <v>0</v>
      </c>
    </row>
    <row r="1778" spans="1:11">
      <c r="A1778" s="4" t="str">
        <f>"20210319"</f>
        <v>20210319</v>
      </c>
      <c r="B1778" s="4" t="str">
        <f>"20210319"</f>
        <v>20210319</v>
      </c>
      <c r="C1778" s="4" t="str">
        <f t="shared" ref="C1778:C1795" si="1073">"港股通组合费"</f>
        <v>港股通组合费</v>
      </c>
      <c r="D1778" s="4" t="str">
        <f t="shared" ref="D1778:D1795" si="1074">""</f>
        <v/>
      </c>
      <c r="E1778" s="4" t="str">
        <f t="shared" ref="E1778:E1795" si="1075">""</f>
        <v/>
      </c>
      <c r="F1778" s="7">
        <v>0</v>
      </c>
      <c r="G1778" s="7">
        <v>0</v>
      </c>
      <c r="H1778" s="7">
        <v>0.06</v>
      </c>
      <c r="I1778" s="7">
        <v>-0.06</v>
      </c>
      <c r="J1778" s="7">
        <v>558.71</v>
      </c>
      <c r="K1778" s="7">
        <v>0</v>
      </c>
    </row>
    <row r="1779" spans="1:11">
      <c r="A1779" s="4" t="str">
        <f>"20210322"</f>
        <v>20210322</v>
      </c>
      <c r="B1779" s="4" t="str">
        <f>"0"</f>
        <v>0</v>
      </c>
      <c r="C1779" s="4" t="str">
        <f>"基金红利拨入"</f>
        <v>基金红利拨入</v>
      </c>
      <c r="D1779" s="4" t="str">
        <f>"AA0007"</f>
        <v>AA0007</v>
      </c>
      <c r="E1779" s="4" t="str">
        <f>"银河水星1号集合"</f>
        <v>银河水星1号集合</v>
      </c>
      <c r="F1779" s="4">
        <v>0</v>
      </c>
      <c r="G1779" s="4">
        <v>0</v>
      </c>
      <c r="H1779" s="4">
        <v>7.17</v>
      </c>
      <c r="I1779" s="4">
        <v>7.17</v>
      </c>
      <c r="J1779" s="4">
        <v>565.88</v>
      </c>
      <c r="K1779" s="4">
        <v>0</v>
      </c>
    </row>
    <row r="1780" spans="1:11">
      <c r="A1780" s="4" t="str">
        <f>"20210322"</f>
        <v>20210322</v>
      </c>
      <c r="B1780" s="4" t="str">
        <f>"20210322"</f>
        <v>20210322</v>
      </c>
      <c r="C1780" s="4" t="str">
        <f t="shared" si="1073"/>
        <v>港股通组合费</v>
      </c>
      <c r="D1780" s="4" t="str">
        <f t="shared" si="1074"/>
        <v/>
      </c>
      <c r="E1780" s="4" t="str">
        <f t="shared" si="1075"/>
        <v/>
      </c>
      <c r="F1780" s="7">
        <v>0</v>
      </c>
      <c r="G1780" s="7">
        <v>0</v>
      </c>
      <c r="H1780" s="7">
        <v>0.15</v>
      </c>
      <c r="I1780" s="7">
        <v>-0.15</v>
      </c>
      <c r="J1780" s="7">
        <v>565.73</v>
      </c>
      <c r="K1780" s="7">
        <v>0</v>
      </c>
    </row>
    <row r="1781" spans="1:11">
      <c r="A1781" s="4" t="str">
        <f>"20210323"</f>
        <v>20210323</v>
      </c>
      <c r="B1781" s="4" t="str">
        <f>"20210323"</f>
        <v>20210323</v>
      </c>
      <c r="C1781" s="4" t="str">
        <f t="shared" si="1073"/>
        <v>港股通组合费</v>
      </c>
      <c r="D1781" s="4" t="str">
        <f t="shared" si="1074"/>
        <v/>
      </c>
      <c r="E1781" s="4" t="str">
        <f t="shared" si="1075"/>
        <v/>
      </c>
      <c r="F1781" s="7">
        <v>0</v>
      </c>
      <c r="G1781" s="7">
        <v>0</v>
      </c>
      <c r="H1781" s="7">
        <v>0.06</v>
      </c>
      <c r="I1781" s="7">
        <v>-0.06</v>
      </c>
      <c r="J1781" s="7">
        <v>565.67</v>
      </c>
      <c r="K1781" s="7">
        <v>0</v>
      </c>
    </row>
    <row r="1782" spans="1:11">
      <c r="A1782" s="4" t="str">
        <f>"20210324"</f>
        <v>20210324</v>
      </c>
      <c r="B1782" s="4" t="str">
        <f>"20210324"</f>
        <v>20210324</v>
      </c>
      <c r="C1782" s="4" t="str">
        <f t="shared" si="1073"/>
        <v>港股通组合费</v>
      </c>
      <c r="D1782" s="4" t="str">
        <f t="shared" si="1074"/>
        <v/>
      </c>
      <c r="E1782" s="4" t="str">
        <f t="shared" si="1075"/>
        <v/>
      </c>
      <c r="F1782" s="7">
        <v>0</v>
      </c>
      <c r="G1782" s="7">
        <v>0</v>
      </c>
      <c r="H1782" s="7">
        <v>0.05</v>
      </c>
      <c r="I1782" s="7">
        <v>-0.05</v>
      </c>
      <c r="J1782" s="7">
        <v>565.62</v>
      </c>
      <c r="K1782" s="7">
        <v>0</v>
      </c>
    </row>
    <row r="1783" spans="1:11">
      <c r="A1783" s="4" t="str">
        <f>"20210325"</f>
        <v>20210325</v>
      </c>
      <c r="B1783" s="4" t="str">
        <f>"20210325"</f>
        <v>20210325</v>
      </c>
      <c r="C1783" s="4" t="str">
        <f t="shared" si="1073"/>
        <v>港股通组合费</v>
      </c>
      <c r="D1783" s="4" t="str">
        <f t="shared" si="1074"/>
        <v/>
      </c>
      <c r="E1783" s="4" t="str">
        <f t="shared" si="1075"/>
        <v/>
      </c>
      <c r="F1783" s="7">
        <v>0</v>
      </c>
      <c r="G1783" s="7">
        <v>0</v>
      </c>
      <c r="H1783" s="7">
        <v>0.05</v>
      </c>
      <c r="I1783" s="7">
        <v>-0.05</v>
      </c>
      <c r="J1783" s="7">
        <v>565.57</v>
      </c>
      <c r="K1783" s="7">
        <v>0</v>
      </c>
    </row>
    <row r="1784" spans="1:11">
      <c r="A1784" s="4" t="str">
        <f>"20210326"</f>
        <v>20210326</v>
      </c>
      <c r="B1784" s="4" t="str">
        <f>"20210326"</f>
        <v>20210326</v>
      </c>
      <c r="C1784" s="4" t="str">
        <f t="shared" si="1073"/>
        <v>港股通组合费</v>
      </c>
      <c r="D1784" s="4" t="str">
        <f t="shared" si="1074"/>
        <v/>
      </c>
      <c r="E1784" s="4" t="str">
        <f t="shared" si="1075"/>
        <v/>
      </c>
      <c r="F1784" s="7">
        <v>0</v>
      </c>
      <c r="G1784" s="7">
        <v>0</v>
      </c>
      <c r="H1784" s="7">
        <v>0.05</v>
      </c>
      <c r="I1784" s="7">
        <v>-0.05</v>
      </c>
      <c r="J1784" s="7">
        <v>565.52</v>
      </c>
      <c r="K1784" s="7">
        <v>0</v>
      </c>
    </row>
    <row r="1785" spans="1:11">
      <c r="A1785" s="4" t="str">
        <f>"20210329"</f>
        <v>20210329</v>
      </c>
      <c r="B1785" s="4" t="str">
        <f>"20210329"</f>
        <v>20210329</v>
      </c>
      <c r="C1785" s="4" t="str">
        <f t="shared" si="1073"/>
        <v>港股通组合费</v>
      </c>
      <c r="D1785" s="4" t="str">
        <f t="shared" si="1074"/>
        <v/>
      </c>
      <c r="E1785" s="4" t="str">
        <f t="shared" si="1075"/>
        <v/>
      </c>
      <c r="F1785" s="7">
        <v>0</v>
      </c>
      <c r="G1785" s="7">
        <v>0</v>
      </c>
      <c r="H1785" s="7">
        <v>0.15</v>
      </c>
      <c r="I1785" s="7">
        <v>-0.15</v>
      </c>
      <c r="J1785" s="7">
        <v>565.37</v>
      </c>
      <c r="K1785" s="7">
        <v>0</v>
      </c>
    </row>
    <row r="1786" spans="1:11">
      <c r="A1786" s="4" t="str">
        <f>"20210330"</f>
        <v>20210330</v>
      </c>
      <c r="B1786" s="4" t="str">
        <f>"20210330"</f>
        <v>20210330</v>
      </c>
      <c r="C1786" s="4" t="str">
        <f t="shared" si="1073"/>
        <v>港股通组合费</v>
      </c>
      <c r="D1786" s="4" t="str">
        <f t="shared" si="1074"/>
        <v/>
      </c>
      <c r="E1786" s="4" t="str">
        <f t="shared" si="1075"/>
        <v/>
      </c>
      <c r="F1786" s="7">
        <v>0</v>
      </c>
      <c r="G1786" s="7">
        <v>0</v>
      </c>
      <c r="H1786" s="7">
        <v>0.06</v>
      </c>
      <c r="I1786" s="7">
        <v>-0.06</v>
      </c>
      <c r="J1786" s="7">
        <v>565.31</v>
      </c>
      <c r="K1786" s="7">
        <v>0</v>
      </c>
    </row>
    <row r="1787" spans="1:11">
      <c r="A1787" s="4" t="str">
        <f>"20210331"</f>
        <v>20210331</v>
      </c>
      <c r="B1787" s="4" t="str">
        <f>"20210331"</f>
        <v>20210331</v>
      </c>
      <c r="C1787" s="4" t="str">
        <f t="shared" si="1073"/>
        <v>港股通组合费</v>
      </c>
      <c r="D1787" s="4" t="str">
        <f t="shared" si="1074"/>
        <v/>
      </c>
      <c r="E1787" s="4" t="str">
        <f t="shared" si="1075"/>
        <v/>
      </c>
      <c r="F1787" s="7">
        <v>0</v>
      </c>
      <c r="G1787" s="7">
        <v>0</v>
      </c>
      <c r="H1787" s="7">
        <v>0.06</v>
      </c>
      <c r="I1787" s="7">
        <v>-0.06</v>
      </c>
      <c r="J1787" s="7">
        <v>565.25</v>
      </c>
      <c r="K1787" s="7">
        <v>0</v>
      </c>
    </row>
    <row r="1788" spans="1:11">
      <c r="A1788" s="4" t="str">
        <f>"20210401"</f>
        <v>20210401</v>
      </c>
      <c r="B1788" s="4" t="str">
        <f>"20210401"</f>
        <v>20210401</v>
      </c>
      <c r="C1788" s="4" t="str">
        <f t="shared" si="1073"/>
        <v>港股通组合费</v>
      </c>
      <c r="D1788" s="4" t="str">
        <f t="shared" si="1074"/>
        <v/>
      </c>
      <c r="E1788" s="4" t="str">
        <f t="shared" si="1075"/>
        <v/>
      </c>
      <c r="F1788" s="4">
        <v>0</v>
      </c>
      <c r="G1788" s="4">
        <v>0</v>
      </c>
      <c r="H1788" s="4">
        <v>0.06</v>
      </c>
      <c r="I1788" s="4">
        <v>-0.06</v>
      </c>
      <c r="J1788" s="4">
        <v>565.19</v>
      </c>
      <c r="K1788" s="4">
        <v>0</v>
      </c>
    </row>
    <row r="1789" spans="1:11">
      <c r="A1789" s="4" t="str">
        <f>"20210407"</f>
        <v>20210407</v>
      </c>
      <c r="B1789" s="4" t="str">
        <f>"20210407"</f>
        <v>20210407</v>
      </c>
      <c r="C1789" s="4" t="str">
        <f t="shared" si="1073"/>
        <v>港股通组合费</v>
      </c>
      <c r="D1789" s="4" t="str">
        <f t="shared" si="1074"/>
        <v/>
      </c>
      <c r="E1789" s="4" t="str">
        <f t="shared" si="1075"/>
        <v/>
      </c>
      <c r="F1789" s="4">
        <v>0</v>
      </c>
      <c r="G1789" s="4">
        <v>0</v>
      </c>
      <c r="H1789" s="4">
        <v>0.36</v>
      </c>
      <c r="I1789" s="4">
        <v>-0.36</v>
      </c>
      <c r="J1789" s="4">
        <v>564.83</v>
      </c>
      <c r="K1789" s="4">
        <v>0</v>
      </c>
    </row>
    <row r="1790" spans="1:11">
      <c r="A1790" s="4" t="str">
        <f>"20210408"</f>
        <v>20210408</v>
      </c>
      <c r="B1790" s="4" t="str">
        <f>"20210408"</f>
        <v>20210408</v>
      </c>
      <c r="C1790" s="4" t="str">
        <f t="shared" si="1073"/>
        <v>港股通组合费</v>
      </c>
      <c r="D1790" s="4" t="str">
        <f t="shared" si="1074"/>
        <v/>
      </c>
      <c r="E1790" s="4" t="str">
        <f t="shared" si="1075"/>
        <v/>
      </c>
      <c r="F1790" s="4">
        <v>0</v>
      </c>
      <c r="G1790" s="4">
        <v>0</v>
      </c>
      <c r="H1790" s="4">
        <v>0.06</v>
      </c>
      <c r="I1790" s="4">
        <v>-0.06</v>
      </c>
      <c r="J1790" s="4">
        <v>564.77</v>
      </c>
      <c r="K1790" s="4">
        <v>0</v>
      </c>
    </row>
    <row r="1791" spans="1:11">
      <c r="A1791" s="4" t="str">
        <f>"20210409"</f>
        <v>20210409</v>
      </c>
      <c r="B1791" s="4" t="str">
        <f>"20210409"</f>
        <v>20210409</v>
      </c>
      <c r="C1791" s="4" t="str">
        <f t="shared" si="1073"/>
        <v>港股通组合费</v>
      </c>
      <c r="D1791" s="4" t="str">
        <f t="shared" si="1074"/>
        <v/>
      </c>
      <c r="E1791" s="4" t="str">
        <f t="shared" si="1075"/>
        <v/>
      </c>
      <c r="F1791" s="4">
        <v>0</v>
      </c>
      <c r="G1791" s="4">
        <v>0</v>
      </c>
      <c r="H1791" s="4">
        <v>0.06</v>
      </c>
      <c r="I1791" s="4">
        <v>-0.06</v>
      </c>
      <c r="J1791" s="4">
        <v>564.71</v>
      </c>
      <c r="K1791" s="4">
        <v>0</v>
      </c>
    </row>
    <row r="1792" spans="1:11">
      <c r="A1792" s="4" t="str">
        <f>"20210412"</f>
        <v>20210412</v>
      </c>
      <c r="B1792" s="4" t="str">
        <f>"20210412"</f>
        <v>20210412</v>
      </c>
      <c r="C1792" s="4" t="str">
        <f t="shared" si="1073"/>
        <v>港股通组合费</v>
      </c>
      <c r="D1792" s="4" t="str">
        <f t="shared" si="1074"/>
        <v/>
      </c>
      <c r="E1792" s="4" t="str">
        <f t="shared" si="1075"/>
        <v/>
      </c>
      <c r="F1792" s="4">
        <v>0</v>
      </c>
      <c r="G1792" s="4">
        <v>0</v>
      </c>
      <c r="H1792" s="4">
        <v>0.18</v>
      </c>
      <c r="I1792" s="4">
        <v>-0.18</v>
      </c>
      <c r="J1792" s="4">
        <v>564.53</v>
      </c>
      <c r="K1792" s="4">
        <v>0</v>
      </c>
    </row>
    <row r="1793" spans="1:11">
      <c r="A1793" s="4" t="str">
        <f>"20210413"</f>
        <v>20210413</v>
      </c>
      <c r="B1793" s="4" t="str">
        <f>"20210413"</f>
        <v>20210413</v>
      </c>
      <c r="C1793" s="4" t="str">
        <f t="shared" si="1073"/>
        <v>港股通组合费</v>
      </c>
      <c r="D1793" s="4" t="str">
        <f t="shared" si="1074"/>
        <v/>
      </c>
      <c r="E1793" s="4" t="str">
        <f t="shared" si="1075"/>
        <v/>
      </c>
      <c r="F1793" s="4">
        <v>0</v>
      </c>
      <c r="G1793" s="4">
        <v>0</v>
      </c>
      <c r="H1793" s="4">
        <v>0.06</v>
      </c>
      <c r="I1793" s="4">
        <v>-0.06</v>
      </c>
      <c r="J1793" s="4">
        <v>564.47</v>
      </c>
      <c r="K1793" s="4">
        <v>0</v>
      </c>
    </row>
    <row r="1794" spans="1:11">
      <c r="A1794" s="4" t="str">
        <f>"20210414"</f>
        <v>20210414</v>
      </c>
      <c r="B1794" s="4" t="str">
        <f>"20210414"</f>
        <v>20210414</v>
      </c>
      <c r="C1794" s="4" t="str">
        <f t="shared" si="1073"/>
        <v>港股通组合费</v>
      </c>
      <c r="D1794" s="4" t="str">
        <f t="shared" si="1074"/>
        <v/>
      </c>
      <c r="E1794" s="4" t="str">
        <f t="shared" si="1075"/>
        <v/>
      </c>
      <c r="F1794" s="4">
        <v>0</v>
      </c>
      <c r="G1794" s="4">
        <v>0</v>
      </c>
      <c r="H1794" s="4">
        <v>0.06</v>
      </c>
      <c r="I1794" s="4">
        <v>-0.06</v>
      </c>
      <c r="J1794" s="4">
        <v>564.41</v>
      </c>
      <c r="K1794" s="4">
        <v>0</v>
      </c>
    </row>
    <row r="1795" spans="1:11">
      <c r="A1795" s="4" t="str">
        <f>"20210415"</f>
        <v>20210415</v>
      </c>
      <c r="B1795" s="4" t="str">
        <f>"20210415"</f>
        <v>20210415</v>
      </c>
      <c r="C1795" s="4" t="str">
        <f t="shared" si="1073"/>
        <v>港股通组合费</v>
      </c>
      <c r="D1795" s="4" t="str">
        <f t="shared" si="1074"/>
        <v/>
      </c>
      <c r="E1795" s="4" t="str">
        <f t="shared" si="1075"/>
        <v/>
      </c>
      <c r="F1795" s="4">
        <v>0</v>
      </c>
      <c r="G1795" s="4">
        <v>0</v>
      </c>
      <c r="H1795" s="4">
        <v>0.06</v>
      </c>
      <c r="I1795" s="4">
        <v>-0.06</v>
      </c>
      <c r="J1795" s="4">
        <v>564.35</v>
      </c>
      <c r="K1795" s="4">
        <v>0</v>
      </c>
    </row>
    <row r="1796" spans="1:11">
      <c r="A1796" s="4" t="str">
        <f t="shared" ref="A1796:A1798" si="1076">"20210416"</f>
        <v>20210416</v>
      </c>
      <c r="B1796" s="4" t="str">
        <f>"20210416"</f>
        <v>20210416</v>
      </c>
      <c r="C1796" s="4" t="str">
        <f>"基金申购拨出"</f>
        <v>基金申购拨出</v>
      </c>
      <c r="D1796" s="4" t="str">
        <f t="shared" ref="D1796:D1801" si="1077">"AA0007"</f>
        <v>AA0007</v>
      </c>
      <c r="E1796" s="4" t="str">
        <f t="shared" ref="E1796:E1801" si="1078">"银河水星1号集合"</f>
        <v>银河水星1号集合</v>
      </c>
      <c r="F1796" s="4">
        <v>0</v>
      </c>
      <c r="G1796" s="4">
        <v>0</v>
      </c>
      <c r="H1796" s="4">
        <v>0</v>
      </c>
      <c r="I1796" s="4">
        <v>-14559.68</v>
      </c>
      <c r="J1796" s="4">
        <v>-13995.33</v>
      </c>
      <c r="K1796" s="4">
        <v>0</v>
      </c>
    </row>
    <row r="1797" spans="1:11">
      <c r="A1797" s="4" t="str">
        <f t="shared" si="1076"/>
        <v>20210416</v>
      </c>
      <c r="B1797" s="4" t="str">
        <f>"20210414"</f>
        <v>20210414</v>
      </c>
      <c r="C1797" s="4" t="str">
        <f>"港股通股票卖出"</f>
        <v>港股通股票卖出</v>
      </c>
      <c r="D1797" s="4" t="str">
        <f>"01099"</f>
        <v>01099</v>
      </c>
      <c r="E1797" s="4" t="str">
        <f>"国药控股"</f>
        <v>国药控股</v>
      </c>
      <c r="F1797" s="4">
        <v>17.53</v>
      </c>
      <c r="G1797" s="4">
        <v>800</v>
      </c>
      <c r="H1797" s="4">
        <v>14024.86</v>
      </c>
      <c r="I1797" s="4">
        <v>14000.33</v>
      </c>
      <c r="J1797" s="4">
        <v>5</v>
      </c>
      <c r="K1797" s="4">
        <v>2000</v>
      </c>
    </row>
    <row r="1798" spans="1:11">
      <c r="A1798" s="4" t="str">
        <f t="shared" si="1076"/>
        <v>20210416</v>
      </c>
      <c r="B1798" s="4" t="str">
        <f>"20210416"</f>
        <v>20210416</v>
      </c>
      <c r="C1798" s="4" t="str">
        <f t="shared" ref="C1798:C1802" si="1079">"港股通组合费"</f>
        <v>港股通组合费</v>
      </c>
      <c r="D1798" s="4" t="str">
        <f t="shared" ref="D1798:D1802" si="1080">""</f>
        <v/>
      </c>
      <c r="E1798" s="4" t="str">
        <f t="shared" ref="E1798:E1802" si="1081">""</f>
        <v/>
      </c>
      <c r="F1798" s="4">
        <v>0</v>
      </c>
      <c r="G1798" s="4">
        <v>0</v>
      </c>
      <c r="H1798" s="4">
        <v>0.06</v>
      </c>
      <c r="I1798" s="4">
        <v>-0.06</v>
      </c>
      <c r="J1798" s="4">
        <v>4.94</v>
      </c>
      <c r="K1798" s="4">
        <v>0</v>
      </c>
    </row>
    <row r="1799" spans="1:11">
      <c r="A1799" s="4" t="str">
        <f>"20210419"</f>
        <v>20210419</v>
      </c>
      <c r="B1799" s="4" t="str">
        <f>"20210419"</f>
        <v>20210419</v>
      </c>
      <c r="C1799" s="4" t="str">
        <f t="shared" ref="C1799:C1803" si="1082">"基金赎回拨入"</f>
        <v>基金赎回拨入</v>
      </c>
      <c r="D1799" s="4" t="str">
        <f t="shared" si="1077"/>
        <v>AA0007</v>
      </c>
      <c r="E1799" s="4" t="str">
        <f t="shared" si="1078"/>
        <v>银河水星1号集合</v>
      </c>
      <c r="F1799" s="4">
        <v>0</v>
      </c>
      <c r="G1799" s="4">
        <v>0</v>
      </c>
      <c r="H1799" s="4">
        <v>0</v>
      </c>
      <c r="I1799" s="4">
        <v>0.06</v>
      </c>
      <c r="J1799" s="4">
        <v>5</v>
      </c>
      <c r="K1799" s="4">
        <v>0</v>
      </c>
    </row>
    <row r="1800" spans="1:11">
      <c r="A1800" s="4" t="str">
        <f>"20210419"</f>
        <v>20210419</v>
      </c>
      <c r="B1800" s="4" t="str">
        <f>"20210419"</f>
        <v>20210419</v>
      </c>
      <c r="C1800" s="4" t="str">
        <f t="shared" si="1079"/>
        <v>港股通组合费</v>
      </c>
      <c r="D1800" s="4" t="str">
        <f t="shared" si="1080"/>
        <v/>
      </c>
      <c r="E1800" s="4" t="str">
        <f t="shared" si="1081"/>
        <v/>
      </c>
      <c r="F1800" s="4">
        <v>0</v>
      </c>
      <c r="G1800" s="4">
        <v>0</v>
      </c>
      <c r="H1800" s="4">
        <v>0.18</v>
      </c>
      <c r="I1800" s="4">
        <v>-0.18</v>
      </c>
      <c r="J1800" s="4">
        <v>4.82</v>
      </c>
      <c r="K1800" s="4">
        <v>0</v>
      </c>
    </row>
    <row r="1801" spans="1:11">
      <c r="A1801" s="4" t="str">
        <f>"20210420"</f>
        <v>20210420</v>
      </c>
      <c r="B1801" s="4" t="str">
        <f>"20210420"</f>
        <v>20210420</v>
      </c>
      <c r="C1801" s="4" t="str">
        <f t="shared" si="1082"/>
        <v>基金赎回拨入</v>
      </c>
      <c r="D1801" s="4" t="str">
        <f t="shared" si="1077"/>
        <v>AA0007</v>
      </c>
      <c r="E1801" s="4" t="str">
        <f t="shared" si="1078"/>
        <v>银河水星1号集合</v>
      </c>
      <c r="F1801" s="4">
        <v>0</v>
      </c>
      <c r="G1801" s="4">
        <v>0</v>
      </c>
      <c r="H1801" s="4">
        <v>0</v>
      </c>
      <c r="I1801" s="4">
        <v>0.18</v>
      </c>
      <c r="J1801" s="4">
        <v>5</v>
      </c>
      <c r="K1801" s="4">
        <v>0</v>
      </c>
    </row>
    <row r="1802" spans="1:11">
      <c r="A1802" s="4" t="str">
        <f>"20210420"</f>
        <v>20210420</v>
      </c>
      <c r="B1802" s="4" t="str">
        <f>"20210420"</f>
        <v>20210420</v>
      </c>
      <c r="C1802" s="4" t="str">
        <f t="shared" si="1079"/>
        <v>港股通组合费</v>
      </c>
      <c r="D1802" s="4" t="str">
        <f t="shared" si="1080"/>
        <v/>
      </c>
      <c r="E1802" s="4" t="str">
        <f t="shared" si="1081"/>
        <v/>
      </c>
      <c r="F1802" s="4">
        <v>0</v>
      </c>
      <c r="G1802" s="4">
        <v>0</v>
      </c>
      <c r="H1802" s="4">
        <v>0.06</v>
      </c>
      <c r="I1802" s="4">
        <v>-0.06</v>
      </c>
      <c r="J1802" s="4">
        <v>4.94</v>
      </c>
      <c r="K1802" s="4">
        <v>0</v>
      </c>
    </row>
    <row r="1803" spans="1:11">
      <c r="A1803" s="4" t="str">
        <f>"20210421"</f>
        <v>20210421</v>
      </c>
      <c r="B1803" s="4" t="str">
        <f>"20210421"</f>
        <v>20210421</v>
      </c>
      <c r="C1803" s="4" t="str">
        <f t="shared" si="1082"/>
        <v>基金赎回拨入</v>
      </c>
      <c r="D1803" s="4" t="str">
        <f t="shared" ref="D1803:D1808" si="1083">"AA0007"</f>
        <v>AA0007</v>
      </c>
      <c r="E1803" s="4" t="str">
        <f t="shared" ref="E1803:E1808" si="1084">"银河水星1号集合"</f>
        <v>银河水星1号集合</v>
      </c>
      <c r="F1803" s="4">
        <v>0</v>
      </c>
      <c r="G1803" s="4">
        <v>0</v>
      </c>
      <c r="H1803" s="4">
        <v>0</v>
      </c>
      <c r="I1803" s="4">
        <v>0.06</v>
      </c>
      <c r="J1803" s="4">
        <v>5</v>
      </c>
      <c r="K1803" s="4">
        <v>0</v>
      </c>
    </row>
    <row r="1804" spans="1:11">
      <c r="A1804" s="4" t="str">
        <f>"20210421"</f>
        <v>20210421</v>
      </c>
      <c r="B1804" s="4" t="str">
        <f>"20210421"</f>
        <v>20210421</v>
      </c>
      <c r="C1804" s="4" t="str">
        <f t="shared" ref="C1804:C1809" si="1085">"港股通组合费"</f>
        <v>港股通组合费</v>
      </c>
      <c r="D1804" s="4" t="str">
        <f t="shared" ref="D1804:D1809" si="1086">""</f>
        <v/>
      </c>
      <c r="E1804" s="4" t="str">
        <f t="shared" ref="E1804:E1809" si="1087">""</f>
        <v/>
      </c>
      <c r="F1804" s="4">
        <v>0</v>
      </c>
      <c r="G1804" s="4">
        <v>0</v>
      </c>
      <c r="H1804" s="4">
        <v>0.06</v>
      </c>
      <c r="I1804" s="4">
        <v>-0.06</v>
      </c>
      <c r="J1804" s="4">
        <v>4.94</v>
      </c>
      <c r="K1804" s="4">
        <v>0</v>
      </c>
    </row>
    <row r="1805" spans="1:11">
      <c r="A1805" s="4" t="str">
        <f t="shared" ref="A1805:A1807" si="1088">"20210422"</f>
        <v>20210422</v>
      </c>
      <c r="B1805" s="4" t="str">
        <f t="shared" ref="B1805:B1807" si="1089">"20210422"</f>
        <v>20210422</v>
      </c>
      <c r="C1805" s="4" t="str">
        <f>"基金申购拨出"</f>
        <v>基金申购拨出</v>
      </c>
      <c r="D1805" s="4" t="str">
        <f t="shared" si="1083"/>
        <v>AA0007</v>
      </c>
      <c r="E1805" s="4" t="str">
        <f t="shared" si="1084"/>
        <v>银河水星1号集合</v>
      </c>
      <c r="F1805" s="4">
        <v>0</v>
      </c>
      <c r="G1805" s="4">
        <v>0</v>
      </c>
      <c r="H1805" s="4">
        <v>0</v>
      </c>
      <c r="I1805" s="4">
        <v>-14650.27</v>
      </c>
      <c r="J1805" s="4">
        <v>-14645.33</v>
      </c>
      <c r="K1805" s="4">
        <v>0</v>
      </c>
    </row>
    <row r="1806" spans="1:11">
      <c r="A1806" s="4" t="str">
        <f t="shared" si="1088"/>
        <v>20210422</v>
      </c>
      <c r="B1806" s="4" t="str">
        <f t="shared" si="1089"/>
        <v>20210422</v>
      </c>
      <c r="C1806" s="4" t="str">
        <f>"证券卖出"</f>
        <v>证券卖出</v>
      </c>
      <c r="D1806" s="4" t="str">
        <f>"002183"</f>
        <v>002183</v>
      </c>
      <c r="E1806" s="4" t="str">
        <f>"怡 亚 通"</f>
        <v>怡 亚 通</v>
      </c>
      <c r="F1806" s="4">
        <v>4.89</v>
      </c>
      <c r="G1806" s="4">
        <v>3000</v>
      </c>
      <c r="H1806" s="4">
        <v>14670</v>
      </c>
      <c r="I1806" s="4">
        <v>14650.33</v>
      </c>
      <c r="J1806" s="4">
        <v>5</v>
      </c>
      <c r="K1806" s="4">
        <v>0</v>
      </c>
    </row>
    <row r="1807" spans="1:11">
      <c r="A1807" s="4" t="str">
        <f t="shared" si="1088"/>
        <v>20210422</v>
      </c>
      <c r="B1807" s="4" t="str">
        <f t="shared" si="1089"/>
        <v>20210422</v>
      </c>
      <c r="C1807" s="4" t="str">
        <f t="shared" si="1085"/>
        <v>港股通组合费</v>
      </c>
      <c r="D1807" s="4" t="str">
        <f t="shared" si="1086"/>
        <v/>
      </c>
      <c r="E1807" s="4" t="str">
        <f t="shared" si="1087"/>
        <v/>
      </c>
      <c r="F1807" s="4">
        <v>0</v>
      </c>
      <c r="G1807" s="4">
        <v>0</v>
      </c>
      <c r="H1807" s="4">
        <v>0.05</v>
      </c>
      <c r="I1807" s="4">
        <v>-0.05</v>
      </c>
      <c r="J1807" s="4">
        <v>4.95</v>
      </c>
      <c r="K1807" s="4">
        <v>0</v>
      </c>
    </row>
    <row r="1808" spans="1:11">
      <c r="A1808" s="4" t="str">
        <f>"20210423"</f>
        <v>20210423</v>
      </c>
      <c r="B1808" s="4" t="str">
        <f>"20210423"</f>
        <v>20210423</v>
      </c>
      <c r="C1808" s="4" t="str">
        <f>"基金赎回拨入"</f>
        <v>基金赎回拨入</v>
      </c>
      <c r="D1808" s="4" t="str">
        <f t="shared" si="1083"/>
        <v>AA0007</v>
      </c>
      <c r="E1808" s="4" t="str">
        <f t="shared" si="1084"/>
        <v>银河水星1号集合</v>
      </c>
      <c r="F1808" s="4">
        <v>0</v>
      </c>
      <c r="G1808" s="4">
        <v>0</v>
      </c>
      <c r="H1808" s="4">
        <v>0</v>
      </c>
      <c r="I1808" s="4">
        <v>0.05</v>
      </c>
      <c r="J1808" s="4">
        <v>5</v>
      </c>
      <c r="K1808" s="4">
        <v>0</v>
      </c>
    </row>
    <row r="1809" spans="1:11">
      <c r="A1809" s="4" t="str">
        <f>"20210423"</f>
        <v>20210423</v>
      </c>
      <c r="B1809" s="4" t="str">
        <f>"20210423"</f>
        <v>20210423</v>
      </c>
      <c r="C1809" s="4" t="str">
        <f t="shared" si="1085"/>
        <v>港股通组合费</v>
      </c>
      <c r="D1809" s="4" t="str">
        <f t="shared" si="1086"/>
        <v/>
      </c>
      <c r="E1809" s="4" t="str">
        <f t="shared" si="1087"/>
        <v/>
      </c>
      <c r="F1809" s="4">
        <v>0</v>
      </c>
      <c r="G1809" s="4">
        <v>0</v>
      </c>
      <c r="H1809" s="4">
        <v>0.05</v>
      </c>
      <c r="I1809" s="4">
        <v>-0.05</v>
      </c>
      <c r="J1809" s="4">
        <v>4.95</v>
      </c>
      <c r="K1809" s="4">
        <v>0</v>
      </c>
    </row>
    <row r="1810" spans="1:11">
      <c r="A1810" s="4" t="str">
        <f t="shared" ref="A1810:A1812" si="1090">"20210426"</f>
        <v>20210426</v>
      </c>
      <c r="B1810" s="4" t="str">
        <f>"20210426"</f>
        <v>20210426</v>
      </c>
      <c r="C1810" s="4" t="str">
        <f>"基金申购拨出"</f>
        <v>基金申购拨出</v>
      </c>
      <c r="D1810" s="4" t="str">
        <f t="shared" ref="D1810:D1815" si="1091">"AA0007"</f>
        <v>AA0007</v>
      </c>
      <c r="E1810" s="4" t="str">
        <f t="shared" ref="E1810:E1815" si="1092">"银河水星1号集合"</f>
        <v>银河水星1号集合</v>
      </c>
      <c r="F1810" s="4">
        <v>0</v>
      </c>
      <c r="G1810" s="4">
        <v>0</v>
      </c>
      <c r="H1810" s="4">
        <v>0</v>
      </c>
      <c r="I1810" s="4">
        <v>-16140.89</v>
      </c>
      <c r="J1810" s="4">
        <v>-16135.94</v>
      </c>
      <c r="K1810" s="4">
        <v>0</v>
      </c>
    </row>
    <row r="1811" spans="1:11">
      <c r="A1811" s="4" t="str">
        <f t="shared" si="1090"/>
        <v>20210426</v>
      </c>
      <c r="B1811" s="4" t="str">
        <f>"20210422"</f>
        <v>20210422</v>
      </c>
      <c r="C1811" s="4" t="str">
        <f>"港股通股票卖出"</f>
        <v>港股通股票卖出</v>
      </c>
      <c r="D1811" s="4" t="str">
        <f>"01099"</f>
        <v>01099</v>
      </c>
      <c r="E1811" s="4" t="str">
        <f>"国药控股"</f>
        <v>国药控股</v>
      </c>
      <c r="F1811" s="4">
        <v>20.21</v>
      </c>
      <c r="G1811" s="4">
        <v>800</v>
      </c>
      <c r="H1811" s="4">
        <v>16169.1</v>
      </c>
      <c r="I1811" s="4">
        <v>16140.94</v>
      </c>
      <c r="J1811" s="4">
        <v>5</v>
      </c>
      <c r="K1811" s="4">
        <v>1200</v>
      </c>
    </row>
    <row r="1812" spans="1:11">
      <c r="A1812" s="4" t="str">
        <f t="shared" si="1090"/>
        <v>20210426</v>
      </c>
      <c r="B1812" s="4" t="str">
        <f>"20210426"</f>
        <v>20210426</v>
      </c>
      <c r="C1812" s="4" t="str">
        <f t="shared" ref="C1812:C1816" si="1093">"港股通组合费"</f>
        <v>港股通组合费</v>
      </c>
      <c r="D1812" s="4" t="str">
        <f t="shared" ref="D1812:D1816" si="1094">""</f>
        <v/>
      </c>
      <c r="E1812" s="4" t="str">
        <f t="shared" ref="E1812:E1816" si="1095">""</f>
        <v/>
      </c>
      <c r="F1812" s="4">
        <v>0</v>
      </c>
      <c r="G1812" s="4">
        <v>0</v>
      </c>
      <c r="H1812" s="4">
        <v>0.15</v>
      </c>
      <c r="I1812" s="4">
        <v>-0.15</v>
      </c>
      <c r="J1812" s="4">
        <v>4.85</v>
      </c>
      <c r="K1812" s="4">
        <v>0</v>
      </c>
    </row>
    <row r="1813" spans="1:11">
      <c r="A1813" s="4" t="str">
        <f>"20210427"</f>
        <v>20210427</v>
      </c>
      <c r="B1813" s="4" t="str">
        <f>"20210427"</f>
        <v>20210427</v>
      </c>
      <c r="C1813" s="4" t="str">
        <f t="shared" ref="C1813:C1817" si="1096">"基金赎回拨入"</f>
        <v>基金赎回拨入</v>
      </c>
      <c r="D1813" s="4" t="str">
        <f t="shared" si="1091"/>
        <v>AA0007</v>
      </c>
      <c r="E1813" s="4" t="str">
        <f t="shared" si="1092"/>
        <v>银河水星1号集合</v>
      </c>
      <c r="F1813" s="4">
        <v>0</v>
      </c>
      <c r="G1813" s="4">
        <v>0</v>
      </c>
      <c r="H1813" s="4">
        <v>0</v>
      </c>
      <c r="I1813" s="4">
        <v>0.15</v>
      </c>
      <c r="J1813" s="4">
        <v>5</v>
      </c>
      <c r="K1813" s="4">
        <v>0</v>
      </c>
    </row>
    <row r="1814" spans="1:11">
      <c r="A1814" s="4" t="str">
        <f>"20210427"</f>
        <v>20210427</v>
      </c>
      <c r="B1814" s="4" t="str">
        <f>"20210427"</f>
        <v>20210427</v>
      </c>
      <c r="C1814" s="4" t="str">
        <f t="shared" si="1093"/>
        <v>港股通组合费</v>
      </c>
      <c r="D1814" s="4" t="str">
        <f t="shared" si="1094"/>
        <v/>
      </c>
      <c r="E1814" s="4" t="str">
        <f t="shared" si="1095"/>
        <v/>
      </c>
      <c r="F1814" s="4">
        <v>0</v>
      </c>
      <c r="G1814" s="4">
        <v>0</v>
      </c>
      <c r="H1814" s="4">
        <v>0.05</v>
      </c>
      <c r="I1814" s="4">
        <v>-0.05</v>
      </c>
      <c r="J1814" s="4">
        <v>4.95</v>
      </c>
      <c r="K1814" s="4">
        <v>0</v>
      </c>
    </row>
    <row r="1815" spans="1:11">
      <c r="A1815" s="4" t="str">
        <f>"20210428"</f>
        <v>20210428</v>
      </c>
      <c r="B1815" s="4" t="str">
        <f>"20210428"</f>
        <v>20210428</v>
      </c>
      <c r="C1815" s="4" t="str">
        <f t="shared" si="1096"/>
        <v>基金赎回拨入</v>
      </c>
      <c r="D1815" s="4" t="str">
        <f t="shared" si="1091"/>
        <v>AA0007</v>
      </c>
      <c r="E1815" s="4" t="str">
        <f t="shared" si="1092"/>
        <v>银河水星1号集合</v>
      </c>
      <c r="F1815" s="4">
        <v>0</v>
      </c>
      <c r="G1815" s="4">
        <v>0</v>
      </c>
      <c r="H1815" s="4">
        <v>0</v>
      </c>
      <c r="I1815" s="4">
        <v>0.05</v>
      </c>
      <c r="J1815" s="4">
        <v>5</v>
      </c>
      <c r="K1815" s="4">
        <v>0</v>
      </c>
    </row>
    <row r="1816" spans="1:11">
      <c r="A1816" s="4" t="str">
        <f>"20210428"</f>
        <v>20210428</v>
      </c>
      <c r="B1816" s="4" t="str">
        <f>"20210428"</f>
        <v>20210428</v>
      </c>
      <c r="C1816" s="4" t="str">
        <f t="shared" si="1093"/>
        <v>港股通组合费</v>
      </c>
      <c r="D1816" s="4" t="str">
        <f t="shared" si="1094"/>
        <v/>
      </c>
      <c r="E1816" s="4" t="str">
        <f t="shared" si="1095"/>
        <v/>
      </c>
      <c r="F1816" s="4">
        <v>0</v>
      </c>
      <c r="G1816" s="4">
        <v>0</v>
      </c>
      <c r="H1816" s="4">
        <v>0.05</v>
      </c>
      <c r="I1816" s="4">
        <v>-0.05</v>
      </c>
      <c r="J1816" s="4">
        <v>4.95</v>
      </c>
      <c r="K1816" s="4">
        <v>0</v>
      </c>
    </row>
    <row r="1817" spans="1:11">
      <c r="A1817" s="4" t="str">
        <f>"20210429"</f>
        <v>20210429</v>
      </c>
      <c r="B1817" s="4" t="str">
        <f>"20210429"</f>
        <v>20210429</v>
      </c>
      <c r="C1817" s="4" t="str">
        <f t="shared" si="1096"/>
        <v>基金赎回拨入</v>
      </c>
      <c r="D1817" s="4" t="str">
        <f t="shared" ref="D1817:D1821" si="1097">"AA0007"</f>
        <v>AA0007</v>
      </c>
      <c r="E1817" s="4" t="str">
        <f t="shared" ref="E1817:E1821" si="1098">"银河水星1号集合"</f>
        <v>银河水星1号集合</v>
      </c>
      <c r="F1817" s="4">
        <v>0</v>
      </c>
      <c r="G1817" s="4">
        <v>0</v>
      </c>
      <c r="H1817" s="4">
        <v>0</v>
      </c>
      <c r="I1817" s="4">
        <v>0.05</v>
      </c>
      <c r="J1817" s="4">
        <v>5</v>
      </c>
      <c r="K1817" s="4">
        <v>0</v>
      </c>
    </row>
    <row r="1818" spans="1:11">
      <c r="A1818" s="4" t="str">
        <f>"20210429"</f>
        <v>20210429</v>
      </c>
      <c r="B1818" s="4" t="str">
        <f>"20210429"</f>
        <v>20210429</v>
      </c>
      <c r="C1818" s="4" t="str">
        <f t="shared" ref="C1818:C1822" si="1099">"港股通组合费"</f>
        <v>港股通组合费</v>
      </c>
      <c r="D1818" s="4" t="str">
        <f t="shared" ref="D1818:D1822" si="1100">""</f>
        <v/>
      </c>
      <c r="E1818" s="4" t="str">
        <f t="shared" ref="E1818:E1822" si="1101">""</f>
        <v/>
      </c>
      <c r="F1818" s="4">
        <v>0</v>
      </c>
      <c r="G1818" s="4">
        <v>0</v>
      </c>
      <c r="H1818" s="4">
        <v>0.05</v>
      </c>
      <c r="I1818" s="4">
        <v>-0.05</v>
      </c>
      <c r="J1818" s="4">
        <v>4.95</v>
      </c>
      <c r="K1818" s="4">
        <v>0</v>
      </c>
    </row>
    <row r="1819" spans="1:11">
      <c r="A1819" s="4" t="str">
        <f>"20210430"</f>
        <v>20210430</v>
      </c>
      <c r="B1819" s="4" t="str">
        <f>"20210430"</f>
        <v>20210430</v>
      </c>
      <c r="C1819" s="4" t="str">
        <f t="shared" ref="C1819:C1823" si="1102">"基金赎回拨入"</f>
        <v>基金赎回拨入</v>
      </c>
      <c r="D1819" s="4" t="str">
        <f t="shared" si="1097"/>
        <v>AA0007</v>
      </c>
      <c r="E1819" s="4" t="str">
        <f t="shared" si="1098"/>
        <v>银河水星1号集合</v>
      </c>
      <c r="F1819" s="4">
        <v>0</v>
      </c>
      <c r="G1819" s="4">
        <v>0</v>
      </c>
      <c r="H1819" s="4">
        <v>0</v>
      </c>
      <c r="I1819" s="4">
        <v>0.05</v>
      </c>
      <c r="J1819" s="4">
        <v>5</v>
      </c>
      <c r="K1819" s="4">
        <v>0</v>
      </c>
    </row>
    <row r="1820" spans="1:11">
      <c r="A1820" s="4" t="str">
        <f>"20210430"</f>
        <v>20210430</v>
      </c>
      <c r="B1820" s="4" t="str">
        <f>"20210430"</f>
        <v>20210430</v>
      </c>
      <c r="C1820" s="4" t="str">
        <f t="shared" si="1099"/>
        <v>港股通组合费</v>
      </c>
      <c r="D1820" s="4" t="str">
        <f t="shared" si="1100"/>
        <v/>
      </c>
      <c r="E1820" s="4" t="str">
        <f t="shared" si="1101"/>
        <v/>
      </c>
      <c r="F1820" s="4">
        <v>0</v>
      </c>
      <c r="G1820" s="4">
        <v>0</v>
      </c>
      <c r="H1820" s="4">
        <v>0.05</v>
      </c>
      <c r="I1820" s="4">
        <v>-0.05</v>
      </c>
      <c r="J1820" s="4">
        <v>4.95</v>
      </c>
      <c r="K1820" s="4">
        <v>0</v>
      </c>
    </row>
    <row r="1821" spans="1:11">
      <c r="A1821" s="4" t="str">
        <f>"20210506"</f>
        <v>20210506</v>
      </c>
      <c r="B1821" s="4" t="str">
        <f>"20210506"</f>
        <v>20210506</v>
      </c>
      <c r="C1821" s="4" t="str">
        <f t="shared" si="1102"/>
        <v>基金赎回拨入</v>
      </c>
      <c r="D1821" s="4" t="str">
        <f t="shared" si="1097"/>
        <v>AA0007</v>
      </c>
      <c r="E1821" s="4" t="str">
        <f t="shared" si="1098"/>
        <v>银河水星1号集合</v>
      </c>
      <c r="F1821" s="4">
        <v>0</v>
      </c>
      <c r="G1821" s="4">
        <v>0</v>
      </c>
      <c r="H1821" s="4">
        <v>0</v>
      </c>
      <c r="I1821" s="4">
        <v>0.05</v>
      </c>
      <c r="J1821" s="4">
        <v>5</v>
      </c>
      <c r="K1821" s="4">
        <v>0</v>
      </c>
    </row>
    <row r="1822" spans="1:11">
      <c r="A1822" s="4" t="str">
        <f>"20210506"</f>
        <v>20210506</v>
      </c>
      <c r="B1822" s="4" t="str">
        <f>"20210506"</f>
        <v>20210506</v>
      </c>
      <c r="C1822" s="4" t="str">
        <f t="shared" si="1099"/>
        <v>港股通组合费</v>
      </c>
      <c r="D1822" s="4" t="str">
        <f t="shared" si="1100"/>
        <v/>
      </c>
      <c r="E1822" s="4" t="str">
        <f t="shared" si="1101"/>
        <v/>
      </c>
      <c r="F1822" s="4">
        <v>0</v>
      </c>
      <c r="G1822" s="4">
        <v>0</v>
      </c>
      <c r="H1822" s="4">
        <v>0.3</v>
      </c>
      <c r="I1822" s="4">
        <v>-0.3</v>
      </c>
      <c r="J1822" s="4">
        <v>4.7</v>
      </c>
      <c r="K1822" s="4">
        <v>0</v>
      </c>
    </row>
    <row r="1823" spans="1:11">
      <c r="A1823" s="4" t="str">
        <f>"20210507"</f>
        <v>20210507</v>
      </c>
      <c r="B1823" s="4" t="str">
        <f>"20210507"</f>
        <v>20210507</v>
      </c>
      <c r="C1823" s="4" t="str">
        <f t="shared" si="1102"/>
        <v>基金赎回拨入</v>
      </c>
      <c r="D1823" s="4" t="str">
        <f t="shared" ref="D1823:D1827" si="1103">"AA0007"</f>
        <v>AA0007</v>
      </c>
      <c r="E1823" s="4" t="str">
        <f t="shared" ref="E1823:E1827" si="1104">"银河水星1号集合"</f>
        <v>银河水星1号集合</v>
      </c>
      <c r="F1823" s="4">
        <v>0</v>
      </c>
      <c r="G1823" s="4">
        <v>0</v>
      </c>
      <c r="H1823" s="4">
        <v>0</v>
      </c>
      <c r="I1823" s="4">
        <v>0.3</v>
      </c>
      <c r="J1823" s="4">
        <v>5</v>
      </c>
      <c r="K1823" s="4">
        <v>0</v>
      </c>
    </row>
    <row r="1824" spans="1:11">
      <c r="A1824" s="4" t="str">
        <f>"20210507"</f>
        <v>20210507</v>
      </c>
      <c r="B1824" s="4" t="str">
        <f>"20210507"</f>
        <v>20210507</v>
      </c>
      <c r="C1824" s="4" t="str">
        <f t="shared" ref="C1824:C1828" si="1105">"港股通组合费"</f>
        <v>港股通组合费</v>
      </c>
      <c r="D1824" s="4" t="str">
        <f t="shared" ref="D1824:D1828" si="1106">""</f>
        <v/>
      </c>
      <c r="E1824" s="4" t="str">
        <f t="shared" ref="E1824:E1828" si="1107">""</f>
        <v/>
      </c>
      <c r="F1824" s="4">
        <v>0</v>
      </c>
      <c r="G1824" s="4">
        <v>0</v>
      </c>
      <c r="H1824" s="4">
        <v>0.05</v>
      </c>
      <c r="I1824" s="4">
        <v>-0.05</v>
      </c>
      <c r="J1824" s="4">
        <v>4.95</v>
      </c>
      <c r="K1824" s="4">
        <v>0</v>
      </c>
    </row>
    <row r="1825" spans="1:11">
      <c r="A1825" s="4" t="str">
        <f>"20210510"</f>
        <v>20210510</v>
      </c>
      <c r="B1825" s="4" t="str">
        <f>"20210510"</f>
        <v>20210510</v>
      </c>
      <c r="C1825" s="4" t="str">
        <f t="shared" ref="C1825:C1829" si="1108">"基金赎回拨入"</f>
        <v>基金赎回拨入</v>
      </c>
      <c r="D1825" s="4" t="str">
        <f t="shared" si="1103"/>
        <v>AA0007</v>
      </c>
      <c r="E1825" s="4" t="str">
        <f t="shared" si="1104"/>
        <v>银河水星1号集合</v>
      </c>
      <c r="F1825" s="4">
        <v>0</v>
      </c>
      <c r="G1825" s="4">
        <v>0</v>
      </c>
      <c r="H1825" s="4">
        <v>0</v>
      </c>
      <c r="I1825" s="4">
        <v>0.05</v>
      </c>
      <c r="J1825" s="4">
        <v>5</v>
      </c>
      <c r="K1825" s="4">
        <v>0</v>
      </c>
    </row>
    <row r="1826" spans="1:11">
      <c r="A1826" s="4" t="str">
        <f>"20210510"</f>
        <v>20210510</v>
      </c>
      <c r="B1826" s="4" t="str">
        <f>"20210510"</f>
        <v>20210510</v>
      </c>
      <c r="C1826" s="4" t="str">
        <f t="shared" si="1105"/>
        <v>港股通组合费</v>
      </c>
      <c r="D1826" s="4" t="str">
        <f t="shared" si="1106"/>
        <v/>
      </c>
      <c r="E1826" s="4" t="str">
        <f t="shared" si="1107"/>
        <v/>
      </c>
      <c r="F1826" s="4">
        <v>0</v>
      </c>
      <c r="G1826" s="4">
        <v>0</v>
      </c>
      <c r="H1826" s="4">
        <v>0.15</v>
      </c>
      <c r="I1826" s="4">
        <v>-0.15</v>
      </c>
      <c r="J1826" s="4">
        <v>4.85</v>
      </c>
      <c r="K1826" s="4">
        <v>0</v>
      </c>
    </row>
    <row r="1827" spans="1:11">
      <c r="A1827" s="4" t="str">
        <f>"20210511"</f>
        <v>20210511</v>
      </c>
      <c r="B1827" s="4" t="str">
        <f>"20210511"</f>
        <v>20210511</v>
      </c>
      <c r="C1827" s="4" t="str">
        <f t="shared" si="1108"/>
        <v>基金赎回拨入</v>
      </c>
      <c r="D1827" s="4" t="str">
        <f t="shared" si="1103"/>
        <v>AA0007</v>
      </c>
      <c r="E1827" s="4" t="str">
        <f t="shared" si="1104"/>
        <v>银河水星1号集合</v>
      </c>
      <c r="F1827" s="4">
        <v>0</v>
      </c>
      <c r="G1827" s="4">
        <v>0</v>
      </c>
      <c r="H1827" s="4">
        <v>0</v>
      </c>
      <c r="I1827" s="4">
        <v>0.15</v>
      </c>
      <c r="J1827" s="4">
        <v>5</v>
      </c>
      <c r="K1827" s="4">
        <v>0</v>
      </c>
    </row>
    <row r="1828" spans="1:11">
      <c r="A1828" s="4" t="str">
        <f>"20210511"</f>
        <v>20210511</v>
      </c>
      <c r="B1828" s="4" t="str">
        <f>"20210511"</f>
        <v>20210511</v>
      </c>
      <c r="C1828" s="4" t="str">
        <f t="shared" si="1105"/>
        <v>港股通组合费</v>
      </c>
      <c r="D1828" s="4" t="str">
        <f t="shared" si="1106"/>
        <v/>
      </c>
      <c r="E1828" s="4" t="str">
        <f t="shared" si="1107"/>
        <v/>
      </c>
      <c r="F1828" s="4">
        <v>0</v>
      </c>
      <c r="G1828" s="4">
        <v>0</v>
      </c>
      <c r="H1828" s="4">
        <v>0.05</v>
      </c>
      <c r="I1828" s="4">
        <v>-0.05</v>
      </c>
      <c r="J1828" s="4">
        <v>4.95</v>
      </c>
      <c r="K1828" s="4">
        <v>0</v>
      </c>
    </row>
    <row r="1829" spans="1:11">
      <c r="A1829" s="4" t="str">
        <f>"20210512"</f>
        <v>20210512</v>
      </c>
      <c r="B1829" s="4" t="str">
        <f>"20210512"</f>
        <v>20210512</v>
      </c>
      <c r="C1829" s="4" t="str">
        <f t="shared" si="1108"/>
        <v>基金赎回拨入</v>
      </c>
      <c r="D1829" s="4" t="str">
        <f t="shared" ref="D1829:D1833" si="1109">"AA0007"</f>
        <v>AA0007</v>
      </c>
      <c r="E1829" s="4" t="str">
        <f t="shared" ref="E1829:E1833" si="1110">"银河水星1号集合"</f>
        <v>银河水星1号集合</v>
      </c>
      <c r="F1829" s="4">
        <v>0</v>
      </c>
      <c r="G1829" s="4">
        <v>0</v>
      </c>
      <c r="H1829" s="4">
        <v>0</v>
      </c>
      <c r="I1829" s="4">
        <v>0.05</v>
      </c>
      <c r="J1829" s="4">
        <v>5</v>
      </c>
      <c r="K1829" s="4">
        <v>0</v>
      </c>
    </row>
    <row r="1830" spans="1:11">
      <c r="A1830" s="4" t="str">
        <f>"20210512"</f>
        <v>20210512</v>
      </c>
      <c r="B1830" s="4" t="str">
        <f>"20210512"</f>
        <v>20210512</v>
      </c>
      <c r="C1830" s="4" t="str">
        <f t="shared" ref="C1830:C1834" si="1111">"港股通组合费"</f>
        <v>港股通组合费</v>
      </c>
      <c r="D1830" s="4" t="str">
        <f t="shared" ref="D1830:D1834" si="1112">""</f>
        <v/>
      </c>
      <c r="E1830" s="4" t="str">
        <f t="shared" ref="E1830:E1834" si="1113">""</f>
        <v/>
      </c>
      <c r="F1830" s="4">
        <v>0</v>
      </c>
      <c r="G1830" s="4">
        <v>0</v>
      </c>
      <c r="H1830" s="4">
        <v>0.05</v>
      </c>
      <c r="I1830" s="4">
        <v>-0.05</v>
      </c>
      <c r="J1830" s="4">
        <v>4.95</v>
      </c>
      <c r="K1830" s="4">
        <v>0</v>
      </c>
    </row>
    <row r="1831" spans="1:11">
      <c r="A1831" s="4" t="str">
        <f>"20210513"</f>
        <v>20210513</v>
      </c>
      <c r="B1831" s="4" t="str">
        <f>"20210513"</f>
        <v>20210513</v>
      </c>
      <c r="C1831" s="4" t="str">
        <f t="shared" ref="C1831:C1835" si="1114">"基金赎回拨入"</f>
        <v>基金赎回拨入</v>
      </c>
      <c r="D1831" s="4" t="str">
        <f t="shared" si="1109"/>
        <v>AA0007</v>
      </c>
      <c r="E1831" s="4" t="str">
        <f t="shared" si="1110"/>
        <v>银河水星1号集合</v>
      </c>
      <c r="F1831" s="4">
        <v>0</v>
      </c>
      <c r="G1831" s="4">
        <v>0</v>
      </c>
      <c r="H1831" s="4">
        <v>0</v>
      </c>
      <c r="I1831" s="4">
        <v>0.05</v>
      </c>
      <c r="J1831" s="4">
        <v>5</v>
      </c>
      <c r="K1831" s="4">
        <v>0</v>
      </c>
    </row>
    <row r="1832" spans="1:11">
      <c r="A1832" s="4" t="str">
        <f>"20210513"</f>
        <v>20210513</v>
      </c>
      <c r="B1832" s="4" t="str">
        <f>"20210513"</f>
        <v>20210513</v>
      </c>
      <c r="C1832" s="4" t="str">
        <f t="shared" si="1111"/>
        <v>港股通组合费</v>
      </c>
      <c r="D1832" s="4" t="str">
        <f t="shared" si="1112"/>
        <v/>
      </c>
      <c r="E1832" s="4" t="str">
        <f t="shared" si="1113"/>
        <v/>
      </c>
      <c r="F1832" s="4">
        <v>0</v>
      </c>
      <c r="G1832" s="4">
        <v>0</v>
      </c>
      <c r="H1832" s="4">
        <v>0.05</v>
      </c>
      <c r="I1832" s="4">
        <v>-0.05</v>
      </c>
      <c r="J1832" s="4">
        <v>4.95</v>
      </c>
      <c r="K1832" s="4">
        <v>0</v>
      </c>
    </row>
    <row r="1833" spans="1:11">
      <c r="A1833" s="4" t="str">
        <f>"20210514"</f>
        <v>20210514</v>
      </c>
      <c r="B1833" s="4" t="str">
        <f>"20210514"</f>
        <v>20210514</v>
      </c>
      <c r="C1833" s="4" t="str">
        <f t="shared" si="1114"/>
        <v>基金赎回拨入</v>
      </c>
      <c r="D1833" s="4" t="str">
        <f t="shared" si="1109"/>
        <v>AA0007</v>
      </c>
      <c r="E1833" s="4" t="str">
        <f t="shared" si="1110"/>
        <v>银河水星1号集合</v>
      </c>
      <c r="F1833" s="4">
        <v>0</v>
      </c>
      <c r="G1833" s="4">
        <v>0</v>
      </c>
      <c r="H1833" s="4">
        <v>0</v>
      </c>
      <c r="I1833" s="4">
        <v>0.05</v>
      </c>
      <c r="J1833" s="4">
        <v>5</v>
      </c>
      <c r="K1833" s="4">
        <v>0</v>
      </c>
    </row>
    <row r="1834" spans="1:11">
      <c r="A1834" s="4" t="str">
        <f>"20210514"</f>
        <v>20210514</v>
      </c>
      <c r="B1834" s="4" t="str">
        <f>"20210514"</f>
        <v>20210514</v>
      </c>
      <c r="C1834" s="4" t="str">
        <f t="shared" si="1111"/>
        <v>港股通组合费</v>
      </c>
      <c r="D1834" s="4" t="str">
        <f t="shared" si="1112"/>
        <v/>
      </c>
      <c r="E1834" s="4" t="str">
        <f t="shared" si="1113"/>
        <v/>
      </c>
      <c r="F1834" s="4">
        <v>0</v>
      </c>
      <c r="G1834" s="4">
        <v>0</v>
      </c>
      <c r="H1834" s="4">
        <v>0.05</v>
      </c>
      <c r="I1834" s="4">
        <v>-0.05</v>
      </c>
      <c r="J1834" s="4">
        <v>4.95</v>
      </c>
      <c r="K1834" s="4">
        <v>0</v>
      </c>
    </row>
    <row r="1835" spans="1:11">
      <c r="A1835" s="4" t="str">
        <f>"20210517"</f>
        <v>20210517</v>
      </c>
      <c r="B1835" s="4" t="str">
        <f>"20210517"</f>
        <v>20210517</v>
      </c>
      <c r="C1835" s="4" t="str">
        <f t="shared" si="1114"/>
        <v>基金赎回拨入</v>
      </c>
      <c r="D1835" s="4" t="str">
        <f t="shared" ref="D1835:D1839" si="1115">"AA0007"</f>
        <v>AA0007</v>
      </c>
      <c r="E1835" s="4" t="str">
        <f t="shared" ref="E1835:E1839" si="1116">"银河水星1号集合"</f>
        <v>银河水星1号集合</v>
      </c>
      <c r="F1835" s="4">
        <v>0</v>
      </c>
      <c r="G1835" s="4">
        <v>0</v>
      </c>
      <c r="H1835" s="4">
        <v>0</v>
      </c>
      <c r="I1835" s="4">
        <v>0.05</v>
      </c>
      <c r="J1835" s="4">
        <v>5</v>
      </c>
      <c r="K1835" s="4">
        <v>0</v>
      </c>
    </row>
    <row r="1836" spans="1:11">
      <c r="A1836" s="4" t="str">
        <f>"20210517"</f>
        <v>20210517</v>
      </c>
      <c r="B1836" s="4" t="str">
        <f>"20210517"</f>
        <v>20210517</v>
      </c>
      <c r="C1836" s="4" t="str">
        <f t="shared" ref="C1836:C1840" si="1117">"港股通组合费"</f>
        <v>港股通组合费</v>
      </c>
      <c r="D1836" s="4" t="str">
        <f t="shared" ref="D1836:D1840" si="1118">""</f>
        <v/>
      </c>
      <c r="E1836" s="4" t="str">
        <f t="shared" ref="E1836:E1840" si="1119">""</f>
        <v/>
      </c>
      <c r="F1836" s="4">
        <v>0</v>
      </c>
      <c r="G1836" s="4">
        <v>0</v>
      </c>
      <c r="H1836" s="4">
        <v>0.15</v>
      </c>
      <c r="I1836" s="4">
        <v>-0.15</v>
      </c>
      <c r="J1836" s="4">
        <v>4.85</v>
      </c>
      <c r="K1836" s="4">
        <v>0</v>
      </c>
    </row>
    <row r="1837" spans="1:11">
      <c r="A1837" s="4" t="str">
        <f>"20210518"</f>
        <v>20210518</v>
      </c>
      <c r="B1837" s="4" t="str">
        <f>"20210518"</f>
        <v>20210518</v>
      </c>
      <c r="C1837" s="4" t="str">
        <f t="shared" ref="C1837:C1841" si="1120">"基金赎回拨入"</f>
        <v>基金赎回拨入</v>
      </c>
      <c r="D1837" s="4" t="str">
        <f t="shared" si="1115"/>
        <v>AA0007</v>
      </c>
      <c r="E1837" s="4" t="str">
        <f t="shared" si="1116"/>
        <v>银河水星1号集合</v>
      </c>
      <c r="F1837" s="4">
        <v>0</v>
      </c>
      <c r="G1837" s="4">
        <v>0</v>
      </c>
      <c r="H1837" s="4">
        <v>0</v>
      </c>
      <c r="I1837" s="4">
        <v>0.15</v>
      </c>
      <c r="J1837" s="4">
        <v>5</v>
      </c>
      <c r="K1837" s="4">
        <v>0</v>
      </c>
    </row>
    <row r="1838" spans="1:11">
      <c r="A1838" s="4" t="str">
        <f>"20210518"</f>
        <v>20210518</v>
      </c>
      <c r="B1838" s="4" t="str">
        <f>"20210518"</f>
        <v>20210518</v>
      </c>
      <c r="C1838" s="4" t="str">
        <f t="shared" si="1117"/>
        <v>港股通组合费</v>
      </c>
      <c r="D1838" s="4" t="str">
        <f t="shared" si="1118"/>
        <v/>
      </c>
      <c r="E1838" s="4" t="str">
        <f t="shared" si="1119"/>
        <v/>
      </c>
      <c r="F1838" s="4">
        <v>0</v>
      </c>
      <c r="G1838" s="4">
        <v>0</v>
      </c>
      <c r="H1838" s="4">
        <v>0.05</v>
      </c>
      <c r="I1838" s="4">
        <v>-0.05</v>
      </c>
      <c r="J1838" s="4">
        <v>4.95</v>
      </c>
      <c r="K1838" s="4">
        <v>0</v>
      </c>
    </row>
    <row r="1839" spans="1:11">
      <c r="A1839" s="4" t="str">
        <f>"20210519"</f>
        <v>20210519</v>
      </c>
      <c r="B1839" s="4" t="str">
        <f>"20210519"</f>
        <v>20210519</v>
      </c>
      <c r="C1839" s="4" t="str">
        <f t="shared" si="1120"/>
        <v>基金赎回拨入</v>
      </c>
      <c r="D1839" s="4" t="str">
        <f t="shared" si="1115"/>
        <v>AA0007</v>
      </c>
      <c r="E1839" s="4" t="str">
        <f t="shared" si="1116"/>
        <v>银河水星1号集合</v>
      </c>
      <c r="F1839" s="4">
        <v>0</v>
      </c>
      <c r="G1839" s="4">
        <v>0</v>
      </c>
      <c r="H1839" s="4">
        <v>0</v>
      </c>
      <c r="I1839" s="4">
        <v>0.05</v>
      </c>
      <c r="J1839" s="4">
        <v>5</v>
      </c>
      <c r="K1839" s="4">
        <v>0</v>
      </c>
    </row>
    <row r="1840" spans="1:11">
      <c r="A1840" s="4" t="str">
        <f>"20210520"</f>
        <v>20210520</v>
      </c>
      <c r="B1840" s="4" t="str">
        <f>"20210520"</f>
        <v>20210520</v>
      </c>
      <c r="C1840" s="4" t="str">
        <f t="shared" si="1117"/>
        <v>港股通组合费</v>
      </c>
      <c r="D1840" s="4" t="str">
        <f t="shared" si="1118"/>
        <v/>
      </c>
      <c r="E1840" s="4" t="str">
        <f t="shared" si="1119"/>
        <v/>
      </c>
      <c r="F1840" s="4">
        <v>0</v>
      </c>
      <c r="G1840" s="4">
        <v>0</v>
      </c>
      <c r="H1840" s="4">
        <v>0.1</v>
      </c>
      <c r="I1840" s="4">
        <v>-0.1</v>
      </c>
      <c r="J1840" s="4">
        <v>4.9</v>
      </c>
      <c r="K1840" s="4">
        <v>0</v>
      </c>
    </row>
    <row r="1841" spans="1:11">
      <c r="A1841" s="4" t="str">
        <f>"20210521"</f>
        <v>20210521</v>
      </c>
      <c r="B1841" s="4" t="str">
        <f>"20210521"</f>
        <v>20210521</v>
      </c>
      <c r="C1841" s="4" t="str">
        <f t="shared" si="1120"/>
        <v>基金赎回拨入</v>
      </c>
      <c r="D1841" s="4" t="str">
        <f t="shared" ref="D1841:D1845" si="1121">"AA0007"</f>
        <v>AA0007</v>
      </c>
      <c r="E1841" s="4" t="str">
        <f t="shared" ref="E1841:E1845" si="1122">"银河水星1号集合"</f>
        <v>银河水星1号集合</v>
      </c>
      <c r="F1841" s="4">
        <v>0</v>
      </c>
      <c r="G1841" s="4">
        <v>0</v>
      </c>
      <c r="H1841" s="4">
        <v>0</v>
      </c>
      <c r="I1841" s="4">
        <v>0.1</v>
      </c>
      <c r="J1841" s="4">
        <v>5</v>
      </c>
      <c r="K1841" s="4">
        <v>0</v>
      </c>
    </row>
    <row r="1842" spans="1:11">
      <c r="A1842" s="4" t="str">
        <f>"20210521"</f>
        <v>20210521</v>
      </c>
      <c r="B1842" s="4" t="str">
        <f>"20210521"</f>
        <v>20210521</v>
      </c>
      <c r="C1842" s="4" t="str">
        <f t="shared" ref="C1842:C1846" si="1123">"港股通组合费"</f>
        <v>港股通组合费</v>
      </c>
      <c r="D1842" s="4" t="str">
        <f t="shared" ref="D1842:D1846" si="1124">""</f>
        <v/>
      </c>
      <c r="E1842" s="4" t="str">
        <f t="shared" ref="E1842:E1846" si="1125">""</f>
        <v/>
      </c>
      <c r="F1842" s="4">
        <v>0</v>
      </c>
      <c r="G1842" s="4">
        <v>0</v>
      </c>
      <c r="H1842" s="4">
        <v>0.05</v>
      </c>
      <c r="I1842" s="4">
        <v>-0.05</v>
      </c>
      <c r="J1842" s="4">
        <v>4.95</v>
      </c>
      <c r="K1842" s="4">
        <v>0</v>
      </c>
    </row>
    <row r="1843" spans="1:11">
      <c r="A1843" s="4" t="str">
        <f>"20210524"</f>
        <v>20210524</v>
      </c>
      <c r="B1843" s="4" t="str">
        <f>"20210524"</f>
        <v>20210524</v>
      </c>
      <c r="C1843" s="4" t="str">
        <f t="shared" ref="C1843:C1847" si="1126">"基金赎回拨入"</f>
        <v>基金赎回拨入</v>
      </c>
      <c r="D1843" s="4" t="str">
        <f t="shared" si="1121"/>
        <v>AA0007</v>
      </c>
      <c r="E1843" s="4" t="str">
        <f t="shared" si="1122"/>
        <v>银河水星1号集合</v>
      </c>
      <c r="F1843" s="4">
        <v>0</v>
      </c>
      <c r="G1843" s="4">
        <v>0</v>
      </c>
      <c r="H1843" s="4">
        <v>0</v>
      </c>
      <c r="I1843" s="4">
        <v>0.05</v>
      </c>
      <c r="J1843" s="4">
        <v>5</v>
      </c>
      <c r="K1843" s="4">
        <v>0</v>
      </c>
    </row>
    <row r="1844" spans="1:11">
      <c r="A1844" s="4" t="str">
        <f>"20210524"</f>
        <v>20210524</v>
      </c>
      <c r="B1844" s="4" t="str">
        <f>"20210524"</f>
        <v>20210524</v>
      </c>
      <c r="C1844" s="4" t="str">
        <f t="shared" si="1123"/>
        <v>港股通组合费</v>
      </c>
      <c r="D1844" s="4" t="str">
        <f t="shared" si="1124"/>
        <v/>
      </c>
      <c r="E1844" s="4" t="str">
        <f t="shared" si="1125"/>
        <v/>
      </c>
      <c r="F1844" s="4">
        <v>0</v>
      </c>
      <c r="G1844" s="4">
        <v>0</v>
      </c>
      <c r="H1844" s="4">
        <v>0.15</v>
      </c>
      <c r="I1844" s="4">
        <v>-0.15</v>
      </c>
      <c r="J1844" s="4">
        <v>4.85</v>
      </c>
      <c r="K1844" s="4">
        <v>0</v>
      </c>
    </row>
    <row r="1845" spans="1:11">
      <c r="A1845" s="4" t="str">
        <f>"20210525"</f>
        <v>20210525</v>
      </c>
      <c r="B1845" s="4" t="str">
        <f>"20210525"</f>
        <v>20210525</v>
      </c>
      <c r="C1845" s="4" t="str">
        <f t="shared" si="1126"/>
        <v>基金赎回拨入</v>
      </c>
      <c r="D1845" s="4" t="str">
        <f t="shared" si="1121"/>
        <v>AA0007</v>
      </c>
      <c r="E1845" s="4" t="str">
        <f t="shared" si="1122"/>
        <v>银河水星1号集合</v>
      </c>
      <c r="F1845" s="4">
        <v>0</v>
      </c>
      <c r="G1845" s="4">
        <v>0</v>
      </c>
      <c r="H1845" s="4">
        <v>0</v>
      </c>
      <c r="I1845" s="4">
        <v>0.15</v>
      </c>
      <c r="J1845" s="4">
        <v>5</v>
      </c>
      <c r="K1845" s="4">
        <v>0</v>
      </c>
    </row>
    <row r="1846" spans="1:11">
      <c r="A1846" s="4" t="str">
        <f>"20210525"</f>
        <v>20210525</v>
      </c>
      <c r="B1846" s="4" t="str">
        <f>"20210525"</f>
        <v>20210525</v>
      </c>
      <c r="C1846" s="4" t="str">
        <f t="shared" si="1123"/>
        <v>港股通组合费</v>
      </c>
      <c r="D1846" s="4" t="str">
        <f t="shared" si="1124"/>
        <v/>
      </c>
      <c r="E1846" s="4" t="str">
        <f t="shared" si="1125"/>
        <v/>
      </c>
      <c r="F1846" s="4">
        <v>0</v>
      </c>
      <c r="G1846" s="4">
        <v>0</v>
      </c>
      <c r="H1846" s="4">
        <v>0.05</v>
      </c>
      <c r="I1846" s="4">
        <v>-0.05</v>
      </c>
      <c r="J1846" s="4">
        <v>4.95</v>
      </c>
      <c r="K1846" s="4">
        <v>0</v>
      </c>
    </row>
    <row r="1847" spans="1:11">
      <c r="A1847" s="4" t="str">
        <f>"20210526"</f>
        <v>20210526</v>
      </c>
      <c r="B1847" s="4" t="str">
        <f>"20210526"</f>
        <v>20210526</v>
      </c>
      <c r="C1847" s="4" t="str">
        <f t="shared" si="1126"/>
        <v>基金赎回拨入</v>
      </c>
      <c r="D1847" s="4" t="str">
        <f t="shared" ref="D1847:D1851" si="1127">"AA0007"</f>
        <v>AA0007</v>
      </c>
      <c r="E1847" s="4" t="str">
        <f t="shared" ref="E1847:E1851" si="1128">"银河水星1号集合"</f>
        <v>银河水星1号集合</v>
      </c>
      <c r="F1847" s="4">
        <v>0</v>
      </c>
      <c r="G1847" s="4">
        <v>0</v>
      </c>
      <c r="H1847" s="4">
        <v>0</v>
      </c>
      <c r="I1847" s="4">
        <v>0.05</v>
      </c>
      <c r="J1847" s="4">
        <v>5</v>
      </c>
      <c r="K1847" s="4">
        <v>0</v>
      </c>
    </row>
    <row r="1848" spans="1:11">
      <c r="A1848" s="4" t="str">
        <f>"20210526"</f>
        <v>20210526</v>
      </c>
      <c r="B1848" s="4" t="str">
        <f>"20210526"</f>
        <v>20210526</v>
      </c>
      <c r="C1848" s="4" t="str">
        <f t="shared" ref="C1848:C1852" si="1129">"港股通组合费"</f>
        <v>港股通组合费</v>
      </c>
      <c r="D1848" s="4" t="str">
        <f t="shared" ref="D1848:D1852" si="1130">""</f>
        <v/>
      </c>
      <c r="E1848" s="4" t="str">
        <f t="shared" ref="E1848:E1852" si="1131">""</f>
        <v/>
      </c>
      <c r="F1848" s="4">
        <v>0</v>
      </c>
      <c r="G1848" s="4">
        <v>0</v>
      </c>
      <c r="H1848" s="4">
        <v>0.05</v>
      </c>
      <c r="I1848" s="4">
        <v>-0.05</v>
      </c>
      <c r="J1848" s="4">
        <v>4.95</v>
      </c>
      <c r="K1848" s="4">
        <v>0</v>
      </c>
    </row>
    <row r="1849" spans="1:11">
      <c r="A1849" s="4" t="str">
        <f>"20210527"</f>
        <v>20210527</v>
      </c>
      <c r="B1849" s="4" t="str">
        <f>"20210527"</f>
        <v>20210527</v>
      </c>
      <c r="C1849" s="4" t="str">
        <f t="shared" ref="C1849:C1853" si="1132">"基金赎回拨入"</f>
        <v>基金赎回拨入</v>
      </c>
      <c r="D1849" s="4" t="str">
        <f t="shared" si="1127"/>
        <v>AA0007</v>
      </c>
      <c r="E1849" s="4" t="str">
        <f t="shared" si="1128"/>
        <v>银河水星1号集合</v>
      </c>
      <c r="F1849" s="4">
        <v>0</v>
      </c>
      <c r="G1849" s="4">
        <v>0</v>
      </c>
      <c r="H1849" s="4">
        <v>0</v>
      </c>
      <c r="I1849" s="4">
        <v>0.05</v>
      </c>
      <c r="J1849" s="4">
        <v>5</v>
      </c>
      <c r="K1849" s="4">
        <v>0</v>
      </c>
    </row>
    <row r="1850" spans="1:11">
      <c r="A1850" s="4" t="str">
        <f>"20210527"</f>
        <v>20210527</v>
      </c>
      <c r="B1850" s="4" t="str">
        <f>"20210527"</f>
        <v>20210527</v>
      </c>
      <c r="C1850" s="4" t="str">
        <f t="shared" si="1129"/>
        <v>港股通组合费</v>
      </c>
      <c r="D1850" s="4" t="str">
        <f t="shared" si="1130"/>
        <v/>
      </c>
      <c r="E1850" s="4" t="str">
        <f t="shared" si="1131"/>
        <v/>
      </c>
      <c r="F1850" s="4">
        <v>0</v>
      </c>
      <c r="G1850" s="4">
        <v>0</v>
      </c>
      <c r="H1850" s="4">
        <v>0.05</v>
      </c>
      <c r="I1850" s="4">
        <v>-0.05</v>
      </c>
      <c r="J1850" s="4">
        <v>4.95</v>
      </c>
      <c r="K1850" s="4">
        <v>0</v>
      </c>
    </row>
    <row r="1851" spans="1:11">
      <c r="A1851" s="4" t="str">
        <f>"20210528"</f>
        <v>20210528</v>
      </c>
      <c r="B1851" s="4" t="str">
        <f>"20210528"</f>
        <v>20210528</v>
      </c>
      <c r="C1851" s="4" t="str">
        <f t="shared" si="1132"/>
        <v>基金赎回拨入</v>
      </c>
      <c r="D1851" s="4" t="str">
        <f t="shared" si="1127"/>
        <v>AA0007</v>
      </c>
      <c r="E1851" s="4" t="str">
        <f t="shared" si="1128"/>
        <v>银河水星1号集合</v>
      </c>
      <c r="F1851" s="4">
        <v>0</v>
      </c>
      <c r="G1851" s="4">
        <v>0</v>
      </c>
      <c r="H1851" s="4">
        <v>0</v>
      </c>
      <c r="I1851" s="4">
        <v>0.05</v>
      </c>
      <c r="J1851" s="4">
        <v>5</v>
      </c>
      <c r="K1851" s="4">
        <v>0</v>
      </c>
    </row>
    <row r="1852" spans="1:11">
      <c r="A1852" s="4" t="str">
        <f>"20210528"</f>
        <v>20210528</v>
      </c>
      <c r="B1852" s="4" t="str">
        <f>"20210528"</f>
        <v>20210528</v>
      </c>
      <c r="C1852" s="4" t="str">
        <f t="shared" si="1129"/>
        <v>港股通组合费</v>
      </c>
      <c r="D1852" s="4" t="str">
        <f t="shared" si="1130"/>
        <v/>
      </c>
      <c r="E1852" s="4" t="str">
        <f t="shared" si="1131"/>
        <v/>
      </c>
      <c r="F1852" s="4">
        <v>0</v>
      </c>
      <c r="G1852" s="4">
        <v>0</v>
      </c>
      <c r="H1852" s="4">
        <v>0.05</v>
      </c>
      <c r="I1852" s="4">
        <v>-0.05</v>
      </c>
      <c r="J1852" s="4">
        <v>4.95</v>
      </c>
      <c r="K1852" s="4">
        <v>0</v>
      </c>
    </row>
    <row r="1853" spans="1:11">
      <c r="A1853" s="4" t="str">
        <f>"20210531"</f>
        <v>20210531</v>
      </c>
      <c r="B1853" s="4" t="str">
        <f>"20210531"</f>
        <v>20210531</v>
      </c>
      <c r="C1853" s="4" t="str">
        <f t="shared" si="1132"/>
        <v>基金赎回拨入</v>
      </c>
      <c r="D1853" s="4" t="str">
        <f t="shared" ref="D1853:D1857" si="1133">"AA0007"</f>
        <v>AA0007</v>
      </c>
      <c r="E1853" s="4" t="str">
        <f t="shared" ref="E1853:E1857" si="1134">"银河水星1号集合"</f>
        <v>银河水星1号集合</v>
      </c>
      <c r="F1853" s="4">
        <v>0</v>
      </c>
      <c r="G1853" s="4">
        <v>0</v>
      </c>
      <c r="H1853" s="4">
        <v>0</v>
      </c>
      <c r="I1853" s="4">
        <v>0.05</v>
      </c>
      <c r="J1853" s="4">
        <v>5</v>
      </c>
      <c r="K1853" s="4">
        <v>0</v>
      </c>
    </row>
    <row r="1854" spans="1:11">
      <c r="A1854" s="4" t="str">
        <f>"20210531"</f>
        <v>20210531</v>
      </c>
      <c r="B1854" s="4" t="str">
        <f>"20210531"</f>
        <v>20210531</v>
      </c>
      <c r="C1854" s="4" t="str">
        <f t="shared" ref="C1854:C1859" si="1135">"港股通组合费"</f>
        <v>港股通组合费</v>
      </c>
      <c r="D1854" s="4" t="str">
        <f t="shared" ref="D1854:D1859" si="1136">""</f>
        <v/>
      </c>
      <c r="E1854" s="4" t="str">
        <f t="shared" ref="E1854:E1859" si="1137">""</f>
        <v/>
      </c>
      <c r="F1854" s="4">
        <v>0</v>
      </c>
      <c r="G1854" s="4">
        <v>0</v>
      </c>
      <c r="H1854" s="4">
        <v>0.15</v>
      </c>
      <c r="I1854" s="4">
        <v>-0.15</v>
      </c>
      <c r="J1854" s="4">
        <v>4.85</v>
      </c>
      <c r="K1854" s="4">
        <v>0</v>
      </c>
    </row>
    <row r="1855" spans="1:11">
      <c r="A1855" s="4" t="str">
        <f>"20210601"</f>
        <v>20210601</v>
      </c>
      <c r="B1855" s="4" t="str">
        <f>"20210601"</f>
        <v>20210601</v>
      </c>
      <c r="C1855" s="4" t="str">
        <f>"基金赎回拨入"</f>
        <v>基金赎回拨入</v>
      </c>
      <c r="D1855" s="4" t="str">
        <f t="shared" si="1133"/>
        <v>AA0007</v>
      </c>
      <c r="E1855" s="4" t="str">
        <f t="shared" si="1134"/>
        <v>银河水星1号集合</v>
      </c>
      <c r="F1855" s="4">
        <v>0</v>
      </c>
      <c r="G1855" s="4">
        <v>0</v>
      </c>
      <c r="H1855" s="4">
        <v>0</v>
      </c>
      <c r="I1855" s="4">
        <v>0.15</v>
      </c>
      <c r="J1855" s="4">
        <v>5</v>
      </c>
      <c r="K1855" s="4">
        <v>0</v>
      </c>
    </row>
    <row r="1856" spans="1:11">
      <c r="A1856" s="4" t="str">
        <f>"20210601"</f>
        <v>20210601</v>
      </c>
      <c r="B1856" s="4" t="str">
        <f>"20210601"</f>
        <v>20210601</v>
      </c>
      <c r="C1856" s="4" t="str">
        <f t="shared" si="1135"/>
        <v>港股通组合费</v>
      </c>
      <c r="D1856" s="4" t="str">
        <f t="shared" si="1136"/>
        <v/>
      </c>
      <c r="E1856" s="4" t="str">
        <f t="shared" si="1137"/>
        <v/>
      </c>
      <c r="F1856" s="4">
        <v>0</v>
      </c>
      <c r="G1856" s="4">
        <v>0</v>
      </c>
      <c r="H1856" s="4">
        <v>0.05</v>
      </c>
      <c r="I1856" s="4">
        <v>-0.05</v>
      </c>
      <c r="J1856" s="4">
        <v>4.95</v>
      </c>
      <c r="K1856" s="4">
        <v>0</v>
      </c>
    </row>
    <row r="1857" spans="1:11">
      <c r="A1857" s="4" t="str">
        <f t="shared" ref="A1857:A1859" si="1138">"20210602"</f>
        <v>20210602</v>
      </c>
      <c r="B1857" s="4" t="str">
        <f t="shared" ref="B1857:B1859" si="1139">"20210602"</f>
        <v>20210602</v>
      </c>
      <c r="C1857" s="4" t="str">
        <f>"基金赎回拨入"</f>
        <v>基金赎回拨入</v>
      </c>
      <c r="D1857" s="4" t="str">
        <f t="shared" si="1133"/>
        <v>AA0007</v>
      </c>
      <c r="E1857" s="4" t="str">
        <f t="shared" si="1134"/>
        <v>银河水星1号集合</v>
      </c>
      <c r="F1857" s="4">
        <v>0</v>
      </c>
      <c r="G1857" s="4">
        <v>16469</v>
      </c>
      <c r="H1857" s="4">
        <v>0</v>
      </c>
      <c r="I1857" s="4">
        <v>16469.38</v>
      </c>
      <c r="J1857" s="4">
        <v>16474.33</v>
      </c>
      <c r="K1857" s="4">
        <v>0</v>
      </c>
    </row>
    <row r="1858" spans="1:11">
      <c r="A1858" s="4" t="str">
        <f t="shared" si="1138"/>
        <v>20210602</v>
      </c>
      <c r="B1858" s="4" t="str">
        <f t="shared" si="1139"/>
        <v>20210602</v>
      </c>
      <c r="C1858" s="4" t="str">
        <f>"证券买入"</f>
        <v>证券买入</v>
      </c>
      <c r="D1858" s="4" t="str">
        <f>"600722"</f>
        <v>600722</v>
      </c>
      <c r="E1858" s="4" t="str">
        <f>"金牛化工"</f>
        <v>金牛化工</v>
      </c>
      <c r="F1858" s="4">
        <v>6.86</v>
      </c>
      <c r="G1858" s="4">
        <v>2400</v>
      </c>
      <c r="H1858" s="4">
        <v>16464</v>
      </c>
      <c r="I1858" s="4">
        <v>-16469.33</v>
      </c>
      <c r="J1858" s="4">
        <v>5</v>
      </c>
      <c r="K1858" s="4">
        <v>2400</v>
      </c>
    </row>
    <row r="1859" spans="1:11">
      <c r="A1859" s="4" t="str">
        <f t="shared" si="1138"/>
        <v>20210602</v>
      </c>
      <c r="B1859" s="4" t="str">
        <f t="shared" si="1139"/>
        <v>20210602</v>
      </c>
      <c r="C1859" s="4" t="str">
        <f t="shared" si="1135"/>
        <v>港股通组合费</v>
      </c>
      <c r="D1859" s="4" t="str">
        <f t="shared" si="1136"/>
        <v/>
      </c>
      <c r="E1859" s="4" t="str">
        <f t="shared" si="1137"/>
        <v/>
      </c>
      <c r="F1859" s="4">
        <v>0</v>
      </c>
      <c r="G1859" s="4">
        <v>0</v>
      </c>
      <c r="H1859" s="4">
        <v>0.05</v>
      </c>
      <c r="I1859" s="4">
        <v>-0.05</v>
      </c>
      <c r="J1859" s="4">
        <v>4.95</v>
      </c>
      <c r="K1859" s="4">
        <v>0</v>
      </c>
    </row>
    <row r="1860" spans="1:11">
      <c r="A1860" s="4" t="str">
        <f t="shared" ref="A1860:A1862" si="1140">"20210603"</f>
        <v>20210603</v>
      </c>
      <c r="B1860" s="4" t="str">
        <f t="shared" ref="B1860:B1862" si="1141">"20210603"</f>
        <v>20210603</v>
      </c>
      <c r="C1860" s="4" t="str">
        <f>"基金申购拨出"</f>
        <v>基金申购拨出</v>
      </c>
      <c r="D1860" s="4" t="str">
        <f t="shared" ref="D1860:D1865" si="1142">"AA0007"</f>
        <v>AA0007</v>
      </c>
      <c r="E1860" s="4" t="str">
        <f t="shared" ref="E1860:E1865" si="1143">"银河水星1号集合"</f>
        <v>银河水星1号集合</v>
      </c>
      <c r="F1860" s="4">
        <v>0</v>
      </c>
      <c r="G1860" s="4">
        <v>0</v>
      </c>
      <c r="H1860" s="4">
        <v>0</v>
      </c>
      <c r="I1860" s="4">
        <v>-17113.47</v>
      </c>
      <c r="J1860" s="4">
        <v>-17108.52</v>
      </c>
      <c r="K1860" s="4">
        <v>0</v>
      </c>
    </row>
    <row r="1861" spans="1:11">
      <c r="A1861" s="4" t="str">
        <f t="shared" si="1140"/>
        <v>20210603</v>
      </c>
      <c r="B1861" s="4" t="str">
        <f t="shared" si="1141"/>
        <v>20210603</v>
      </c>
      <c r="C1861" s="4" t="str">
        <f>"证券卖出"</f>
        <v>证券卖出</v>
      </c>
      <c r="D1861" s="4" t="str">
        <f>"600722"</f>
        <v>600722</v>
      </c>
      <c r="E1861" s="4" t="str">
        <f>"金牛化工"</f>
        <v>金牛化工</v>
      </c>
      <c r="F1861" s="4">
        <v>7.14</v>
      </c>
      <c r="G1861" s="4">
        <v>2400</v>
      </c>
      <c r="H1861" s="4">
        <v>17136</v>
      </c>
      <c r="I1861" s="4">
        <v>17113.52</v>
      </c>
      <c r="J1861" s="4">
        <v>5</v>
      </c>
      <c r="K1861" s="4">
        <v>0</v>
      </c>
    </row>
    <row r="1862" spans="1:11">
      <c r="A1862" s="4" t="str">
        <f t="shared" si="1140"/>
        <v>20210603</v>
      </c>
      <c r="B1862" s="4" t="str">
        <f t="shared" si="1141"/>
        <v>20210603</v>
      </c>
      <c r="C1862" s="4" t="str">
        <f t="shared" ref="C1862:C1866" si="1144">"港股通组合费"</f>
        <v>港股通组合费</v>
      </c>
      <c r="D1862" s="4" t="str">
        <f t="shared" ref="D1862:D1866" si="1145">""</f>
        <v/>
      </c>
      <c r="E1862" s="4" t="str">
        <f t="shared" ref="E1862:E1866" si="1146">""</f>
        <v/>
      </c>
      <c r="F1862" s="4">
        <v>0</v>
      </c>
      <c r="G1862" s="4">
        <v>0</v>
      </c>
      <c r="H1862" s="4">
        <v>0.05</v>
      </c>
      <c r="I1862" s="4">
        <v>-0.05</v>
      </c>
      <c r="J1862" s="4">
        <v>4.95</v>
      </c>
      <c r="K1862" s="4">
        <v>0</v>
      </c>
    </row>
    <row r="1863" spans="1:11">
      <c r="A1863" s="4" t="str">
        <f>"20210604"</f>
        <v>20210604</v>
      </c>
      <c r="B1863" s="4" t="str">
        <f>"20210604"</f>
        <v>20210604</v>
      </c>
      <c r="C1863" s="4" t="str">
        <f t="shared" ref="C1863:C1867" si="1147">"基金赎回拨入"</f>
        <v>基金赎回拨入</v>
      </c>
      <c r="D1863" s="4" t="str">
        <f t="shared" si="1142"/>
        <v>AA0007</v>
      </c>
      <c r="E1863" s="4" t="str">
        <f t="shared" si="1143"/>
        <v>银河水星1号集合</v>
      </c>
      <c r="F1863" s="4">
        <v>0</v>
      </c>
      <c r="G1863" s="4">
        <v>0</v>
      </c>
      <c r="H1863" s="4">
        <v>0</v>
      </c>
      <c r="I1863" s="4">
        <v>0.05</v>
      </c>
      <c r="J1863" s="4">
        <v>5</v>
      </c>
      <c r="K1863" s="4">
        <v>0</v>
      </c>
    </row>
    <row r="1864" spans="1:11">
      <c r="A1864" s="4" t="str">
        <f>"20210604"</f>
        <v>20210604</v>
      </c>
      <c r="B1864" s="4" t="str">
        <f>"20210604"</f>
        <v>20210604</v>
      </c>
      <c r="C1864" s="4" t="str">
        <f t="shared" si="1144"/>
        <v>港股通组合费</v>
      </c>
      <c r="D1864" s="4" t="str">
        <f t="shared" si="1145"/>
        <v/>
      </c>
      <c r="E1864" s="4" t="str">
        <f t="shared" si="1146"/>
        <v/>
      </c>
      <c r="F1864" s="4">
        <v>0</v>
      </c>
      <c r="G1864" s="4">
        <v>0</v>
      </c>
      <c r="H1864" s="4">
        <v>0.05</v>
      </c>
      <c r="I1864" s="4">
        <v>-0.05</v>
      </c>
      <c r="J1864" s="4">
        <v>4.95</v>
      </c>
      <c r="K1864" s="4">
        <v>0</v>
      </c>
    </row>
    <row r="1865" spans="1:11">
      <c r="A1865" s="4" t="str">
        <f>"20210607"</f>
        <v>20210607</v>
      </c>
      <c r="B1865" s="4" t="str">
        <f>"20210607"</f>
        <v>20210607</v>
      </c>
      <c r="C1865" s="4" t="str">
        <f t="shared" si="1147"/>
        <v>基金赎回拨入</v>
      </c>
      <c r="D1865" s="4" t="str">
        <f t="shared" si="1142"/>
        <v>AA0007</v>
      </c>
      <c r="E1865" s="4" t="str">
        <f t="shared" si="1143"/>
        <v>银河水星1号集合</v>
      </c>
      <c r="F1865" s="4">
        <v>0</v>
      </c>
      <c r="G1865" s="4">
        <v>0</v>
      </c>
      <c r="H1865" s="4">
        <v>0</v>
      </c>
      <c r="I1865" s="4">
        <v>0.05</v>
      </c>
      <c r="J1865" s="4">
        <v>5</v>
      </c>
      <c r="K1865" s="4">
        <v>0</v>
      </c>
    </row>
    <row r="1866" spans="1:11">
      <c r="A1866" s="4" t="str">
        <f>"20210607"</f>
        <v>20210607</v>
      </c>
      <c r="B1866" s="4" t="str">
        <f>"20210607"</f>
        <v>20210607</v>
      </c>
      <c r="C1866" s="4" t="str">
        <f t="shared" si="1144"/>
        <v>港股通组合费</v>
      </c>
      <c r="D1866" s="4" t="str">
        <f t="shared" si="1145"/>
        <v/>
      </c>
      <c r="E1866" s="4" t="str">
        <f t="shared" si="1146"/>
        <v/>
      </c>
      <c r="F1866" s="4">
        <v>0</v>
      </c>
      <c r="G1866" s="4">
        <v>0</v>
      </c>
      <c r="H1866" s="4">
        <v>0.15</v>
      </c>
      <c r="I1866" s="4">
        <v>-0.15</v>
      </c>
      <c r="J1866" s="4">
        <v>4.85</v>
      </c>
      <c r="K1866" s="4">
        <v>0</v>
      </c>
    </row>
    <row r="1867" spans="1:11">
      <c r="A1867" s="4" t="str">
        <f>"20210608"</f>
        <v>20210608</v>
      </c>
      <c r="B1867" s="4" t="str">
        <f>"20210608"</f>
        <v>20210608</v>
      </c>
      <c r="C1867" s="4" t="str">
        <f t="shared" si="1147"/>
        <v>基金赎回拨入</v>
      </c>
      <c r="D1867" s="4" t="str">
        <f t="shared" ref="D1867:D1871" si="1148">"AA0007"</f>
        <v>AA0007</v>
      </c>
      <c r="E1867" s="4" t="str">
        <f t="shared" ref="E1867:E1871" si="1149">"银河水星1号集合"</f>
        <v>银河水星1号集合</v>
      </c>
      <c r="F1867" s="4">
        <v>0</v>
      </c>
      <c r="G1867" s="4">
        <v>0</v>
      </c>
      <c r="H1867" s="4">
        <v>0</v>
      </c>
      <c r="I1867" s="4">
        <v>0.15</v>
      </c>
      <c r="J1867" s="4">
        <v>5</v>
      </c>
      <c r="K1867" s="4">
        <v>0</v>
      </c>
    </row>
    <row r="1868" spans="1:11">
      <c r="A1868" s="4" t="str">
        <f>"20210608"</f>
        <v>20210608</v>
      </c>
      <c r="B1868" s="4" t="str">
        <f>"20210608"</f>
        <v>20210608</v>
      </c>
      <c r="C1868" s="4" t="str">
        <f t="shared" ref="C1868:C1872" si="1150">"港股通组合费"</f>
        <v>港股通组合费</v>
      </c>
      <c r="D1868" s="4" t="str">
        <f t="shared" ref="D1868:D1872" si="1151">""</f>
        <v/>
      </c>
      <c r="E1868" s="4" t="str">
        <f t="shared" ref="E1868:E1872" si="1152">""</f>
        <v/>
      </c>
      <c r="F1868" s="4">
        <v>0</v>
      </c>
      <c r="G1868" s="4">
        <v>0</v>
      </c>
      <c r="H1868" s="4">
        <v>0.05</v>
      </c>
      <c r="I1868" s="4">
        <v>-0.05</v>
      </c>
      <c r="J1868" s="4">
        <v>4.95</v>
      </c>
      <c r="K1868" s="4">
        <v>0</v>
      </c>
    </row>
    <row r="1869" spans="1:11">
      <c r="A1869" s="4" t="str">
        <f>"20210609"</f>
        <v>20210609</v>
      </c>
      <c r="B1869" s="4" t="str">
        <f>"20210609"</f>
        <v>20210609</v>
      </c>
      <c r="C1869" s="4" t="str">
        <f t="shared" ref="C1869:C1873" si="1153">"基金赎回拨入"</f>
        <v>基金赎回拨入</v>
      </c>
      <c r="D1869" s="4" t="str">
        <f t="shared" si="1148"/>
        <v>AA0007</v>
      </c>
      <c r="E1869" s="4" t="str">
        <f t="shared" si="1149"/>
        <v>银河水星1号集合</v>
      </c>
      <c r="F1869" s="4">
        <v>0</v>
      </c>
      <c r="G1869" s="4">
        <v>0</v>
      </c>
      <c r="H1869" s="4">
        <v>0</v>
      </c>
      <c r="I1869" s="4">
        <v>0.05</v>
      </c>
      <c r="J1869" s="4">
        <v>5</v>
      </c>
      <c r="K1869" s="4">
        <v>0</v>
      </c>
    </row>
    <row r="1870" spans="1:11">
      <c r="A1870" s="4" t="str">
        <f>"20210609"</f>
        <v>20210609</v>
      </c>
      <c r="B1870" s="4" t="str">
        <f>"20210609"</f>
        <v>20210609</v>
      </c>
      <c r="C1870" s="4" t="str">
        <f t="shared" si="1150"/>
        <v>港股通组合费</v>
      </c>
      <c r="D1870" s="4" t="str">
        <f t="shared" si="1151"/>
        <v/>
      </c>
      <c r="E1870" s="4" t="str">
        <f t="shared" si="1152"/>
        <v/>
      </c>
      <c r="F1870" s="4">
        <v>0</v>
      </c>
      <c r="G1870" s="4">
        <v>0</v>
      </c>
      <c r="H1870" s="4">
        <v>0.05</v>
      </c>
      <c r="I1870" s="4">
        <v>-0.05</v>
      </c>
      <c r="J1870" s="4">
        <v>4.95</v>
      </c>
      <c r="K1870" s="4">
        <v>0</v>
      </c>
    </row>
    <row r="1871" spans="1:11">
      <c r="A1871" s="4" t="str">
        <f>"20210610"</f>
        <v>20210610</v>
      </c>
      <c r="B1871" s="4" t="str">
        <f>"20210610"</f>
        <v>20210610</v>
      </c>
      <c r="C1871" s="4" t="str">
        <f t="shared" si="1153"/>
        <v>基金赎回拨入</v>
      </c>
      <c r="D1871" s="4" t="str">
        <f t="shared" si="1148"/>
        <v>AA0007</v>
      </c>
      <c r="E1871" s="4" t="str">
        <f t="shared" si="1149"/>
        <v>银河水星1号集合</v>
      </c>
      <c r="F1871" s="4">
        <v>0</v>
      </c>
      <c r="G1871" s="4">
        <v>0</v>
      </c>
      <c r="H1871" s="4">
        <v>0</v>
      </c>
      <c r="I1871" s="4">
        <v>0.05</v>
      </c>
      <c r="J1871" s="4">
        <v>5</v>
      </c>
      <c r="K1871" s="4">
        <v>0</v>
      </c>
    </row>
    <row r="1872" spans="1:11">
      <c r="A1872" s="4" t="str">
        <f>"20210610"</f>
        <v>20210610</v>
      </c>
      <c r="B1872" s="4" t="str">
        <f>"20210610"</f>
        <v>20210610</v>
      </c>
      <c r="C1872" s="4" t="str">
        <f t="shared" si="1150"/>
        <v>港股通组合费</v>
      </c>
      <c r="D1872" s="4" t="str">
        <f t="shared" si="1151"/>
        <v/>
      </c>
      <c r="E1872" s="4" t="str">
        <f t="shared" si="1152"/>
        <v/>
      </c>
      <c r="F1872" s="4">
        <v>0</v>
      </c>
      <c r="G1872" s="4">
        <v>0</v>
      </c>
      <c r="H1872" s="4">
        <v>0.05</v>
      </c>
      <c r="I1872" s="4">
        <v>-0.05</v>
      </c>
      <c r="J1872" s="4">
        <v>4.95</v>
      </c>
      <c r="K1872" s="4">
        <v>0</v>
      </c>
    </row>
    <row r="1873" spans="1:11">
      <c r="A1873" s="4" t="str">
        <f>"20210611"</f>
        <v>20210611</v>
      </c>
      <c r="B1873" s="4" t="str">
        <f>"20210611"</f>
        <v>20210611</v>
      </c>
      <c r="C1873" s="4" t="str">
        <f t="shared" si="1153"/>
        <v>基金赎回拨入</v>
      </c>
      <c r="D1873" s="4" t="str">
        <f t="shared" ref="D1873:D1878" si="1154">"AA0007"</f>
        <v>AA0007</v>
      </c>
      <c r="E1873" s="4" t="str">
        <f t="shared" ref="E1873:E1878" si="1155">"银河水星1号集合"</f>
        <v>银河水星1号集合</v>
      </c>
      <c r="F1873" s="4">
        <v>0</v>
      </c>
      <c r="G1873" s="4">
        <v>0</v>
      </c>
      <c r="H1873" s="4">
        <v>0</v>
      </c>
      <c r="I1873" s="4">
        <v>0.05</v>
      </c>
      <c r="J1873" s="4">
        <v>5</v>
      </c>
      <c r="K1873" s="4">
        <v>0</v>
      </c>
    </row>
    <row r="1874" spans="1:11">
      <c r="A1874" s="4" t="str">
        <f>"20210611"</f>
        <v>20210611</v>
      </c>
      <c r="B1874" s="4" t="str">
        <f>"20210611"</f>
        <v>20210611</v>
      </c>
      <c r="C1874" s="4" t="str">
        <f t="shared" ref="C1874:C1879" si="1156">"港股通组合费"</f>
        <v>港股通组合费</v>
      </c>
      <c r="D1874" s="4" t="str">
        <f t="shared" ref="D1874:D1879" si="1157">""</f>
        <v/>
      </c>
      <c r="E1874" s="4" t="str">
        <f t="shared" ref="E1874:E1879" si="1158">""</f>
        <v/>
      </c>
      <c r="F1874" s="4">
        <v>0</v>
      </c>
      <c r="G1874" s="4">
        <v>0</v>
      </c>
      <c r="H1874" s="4">
        <v>0.05</v>
      </c>
      <c r="I1874" s="4">
        <v>-0.05</v>
      </c>
      <c r="J1874" s="4">
        <v>4.95</v>
      </c>
      <c r="K1874" s="4">
        <v>0</v>
      </c>
    </row>
    <row r="1875" spans="1:11">
      <c r="A1875" s="4" t="str">
        <f t="shared" ref="A1875:A1877" si="1159">"20210615"</f>
        <v>20210615</v>
      </c>
      <c r="B1875" s="4" t="str">
        <f t="shared" ref="B1875:B1877" si="1160">"20210615"</f>
        <v>20210615</v>
      </c>
      <c r="C1875" s="4" t="str">
        <f t="shared" ref="C1875:C1880" si="1161">"基金赎回拨入"</f>
        <v>基金赎回拨入</v>
      </c>
      <c r="D1875" s="4" t="str">
        <f t="shared" si="1154"/>
        <v>AA0007</v>
      </c>
      <c r="E1875" s="4" t="str">
        <f t="shared" si="1155"/>
        <v>银河水星1号集合</v>
      </c>
      <c r="F1875" s="4">
        <v>0</v>
      </c>
      <c r="G1875" s="4">
        <v>13725</v>
      </c>
      <c r="H1875" s="4">
        <v>0</v>
      </c>
      <c r="I1875" s="4">
        <v>13725.05</v>
      </c>
      <c r="J1875" s="4">
        <v>13730</v>
      </c>
      <c r="K1875" s="4">
        <v>0</v>
      </c>
    </row>
    <row r="1876" spans="1:11">
      <c r="A1876" s="4" t="str">
        <f t="shared" si="1159"/>
        <v>20210615</v>
      </c>
      <c r="B1876" s="4" t="str">
        <f t="shared" si="1160"/>
        <v>20210615</v>
      </c>
      <c r="C1876" s="4" t="str">
        <f>"证券买入"</f>
        <v>证券买入</v>
      </c>
      <c r="D1876" s="4" t="str">
        <f>"002484"</f>
        <v>002484</v>
      </c>
      <c r="E1876" s="4" t="str">
        <f>"江海股份"</f>
        <v>江海股份</v>
      </c>
      <c r="F1876" s="4">
        <v>13.72</v>
      </c>
      <c r="G1876" s="4">
        <v>1000</v>
      </c>
      <c r="H1876" s="4">
        <v>13720</v>
      </c>
      <c r="I1876" s="4">
        <v>-13725</v>
      </c>
      <c r="J1876" s="4">
        <v>5</v>
      </c>
      <c r="K1876" s="4">
        <v>1000</v>
      </c>
    </row>
    <row r="1877" spans="1:11">
      <c r="A1877" s="4" t="str">
        <f t="shared" si="1159"/>
        <v>20210615</v>
      </c>
      <c r="B1877" s="4" t="str">
        <f t="shared" si="1160"/>
        <v>20210615</v>
      </c>
      <c r="C1877" s="4" t="str">
        <f t="shared" si="1156"/>
        <v>港股通组合费</v>
      </c>
      <c r="D1877" s="4" t="str">
        <f t="shared" si="1157"/>
        <v/>
      </c>
      <c r="E1877" s="4" t="str">
        <f t="shared" si="1158"/>
        <v/>
      </c>
      <c r="F1877" s="4">
        <v>0</v>
      </c>
      <c r="G1877" s="4">
        <v>0</v>
      </c>
      <c r="H1877" s="4">
        <v>0.2</v>
      </c>
      <c r="I1877" s="4">
        <v>-0.2</v>
      </c>
      <c r="J1877" s="4">
        <v>4.8</v>
      </c>
      <c r="K1877" s="4">
        <v>0</v>
      </c>
    </row>
    <row r="1878" spans="1:11">
      <c r="A1878" s="4" t="str">
        <f>"20210616"</f>
        <v>20210616</v>
      </c>
      <c r="B1878" s="4" t="str">
        <f>"20210616"</f>
        <v>20210616</v>
      </c>
      <c r="C1878" s="4" t="str">
        <f t="shared" si="1161"/>
        <v>基金赎回拨入</v>
      </c>
      <c r="D1878" s="4" t="str">
        <f t="shared" si="1154"/>
        <v>AA0007</v>
      </c>
      <c r="E1878" s="4" t="str">
        <f t="shared" si="1155"/>
        <v>银河水星1号集合</v>
      </c>
      <c r="F1878" s="4">
        <v>0</v>
      </c>
      <c r="G1878" s="4">
        <v>0</v>
      </c>
      <c r="H1878" s="4">
        <v>0</v>
      </c>
      <c r="I1878" s="4">
        <v>0.2</v>
      </c>
      <c r="J1878" s="4">
        <v>5</v>
      </c>
      <c r="K1878" s="4">
        <v>0</v>
      </c>
    </row>
    <row r="1879" spans="1:11">
      <c r="A1879" s="4" t="str">
        <f>"20210616"</f>
        <v>20210616</v>
      </c>
      <c r="B1879" s="4" t="str">
        <f>"20210616"</f>
        <v>20210616</v>
      </c>
      <c r="C1879" s="4" t="str">
        <f t="shared" si="1156"/>
        <v>港股通组合费</v>
      </c>
      <c r="D1879" s="4" t="str">
        <f t="shared" si="1157"/>
        <v/>
      </c>
      <c r="E1879" s="4" t="str">
        <f t="shared" si="1158"/>
        <v/>
      </c>
      <c r="F1879" s="4">
        <v>0</v>
      </c>
      <c r="G1879" s="4">
        <v>0</v>
      </c>
      <c r="H1879" s="4">
        <v>0.05</v>
      </c>
      <c r="I1879" s="4">
        <v>-0.05</v>
      </c>
      <c r="J1879" s="4">
        <v>4.95</v>
      </c>
      <c r="K1879" s="4">
        <v>0</v>
      </c>
    </row>
    <row r="1880" spans="1:11">
      <c r="A1880" s="4" t="str">
        <f>"20210617"</f>
        <v>20210617</v>
      </c>
      <c r="B1880" s="4" t="str">
        <f>"20210617"</f>
        <v>20210617</v>
      </c>
      <c r="C1880" s="4" t="str">
        <f t="shared" si="1161"/>
        <v>基金赎回拨入</v>
      </c>
      <c r="D1880" s="4" t="str">
        <f t="shared" ref="D1880:D1885" si="1162">"AA0007"</f>
        <v>AA0007</v>
      </c>
      <c r="E1880" s="4" t="str">
        <f t="shared" ref="E1880:E1885" si="1163">"银河水星1号集合"</f>
        <v>银河水星1号集合</v>
      </c>
      <c r="F1880" s="4">
        <v>0</v>
      </c>
      <c r="G1880" s="4">
        <v>0</v>
      </c>
      <c r="H1880" s="4">
        <v>0</v>
      </c>
      <c r="I1880" s="4">
        <v>0.05</v>
      </c>
      <c r="J1880" s="4">
        <v>5</v>
      </c>
      <c r="K1880" s="4">
        <v>0</v>
      </c>
    </row>
    <row r="1881" spans="1:11">
      <c r="A1881" s="4" t="str">
        <f>"20210617"</f>
        <v>20210617</v>
      </c>
      <c r="B1881" s="4" t="str">
        <f>"20210617"</f>
        <v>20210617</v>
      </c>
      <c r="C1881" s="4" t="str">
        <f>"港股通组合费"</f>
        <v>港股通组合费</v>
      </c>
      <c r="D1881" s="4" t="str">
        <f>""</f>
        <v/>
      </c>
      <c r="E1881" s="4" t="str">
        <f>""</f>
        <v/>
      </c>
      <c r="F1881" s="4">
        <v>0</v>
      </c>
      <c r="G1881" s="4">
        <v>0</v>
      </c>
      <c r="H1881" s="4">
        <v>0.05</v>
      </c>
      <c r="I1881" s="4">
        <v>-0.05</v>
      </c>
      <c r="J1881" s="4">
        <v>4.95</v>
      </c>
      <c r="K1881" s="4">
        <v>0</v>
      </c>
    </row>
    <row r="1882" spans="1:11">
      <c r="A1882" s="4" t="str">
        <f t="shared" ref="A1882:A1884" si="1164">"20210618"</f>
        <v>20210618</v>
      </c>
      <c r="B1882" s="4" t="str">
        <f t="shared" ref="B1882:B1884" si="1165">"20210618"</f>
        <v>20210618</v>
      </c>
      <c r="C1882" s="4" t="str">
        <f>"利息归本"</f>
        <v>利息归本</v>
      </c>
      <c r="D1882" s="4"/>
      <c r="E1882" s="4"/>
      <c r="F1882" s="4">
        <v>0</v>
      </c>
      <c r="G1882" s="4">
        <v>0</v>
      </c>
      <c r="H1882" s="4">
        <v>0</v>
      </c>
      <c r="I1882" s="4">
        <v>0.73</v>
      </c>
      <c r="J1882" s="4">
        <v>5.68</v>
      </c>
      <c r="K1882" s="4">
        <v>0</v>
      </c>
    </row>
    <row r="1883" spans="1:11">
      <c r="A1883" s="4" t="str">
        <f t="shared" si="1164"/>
        <v>20210618</v>
      </c>
      <c r="B1883" s="4" t="str">
        <f t="shared" si="1165"/>
        <v>20210618</v>
      </c>
      <c r="C1883" s="4" t="str">
        <f>"基金赎回拨入"</f>
        <v>基金赎回拨入</v>
      </c>
      <c r="D1883" s="4" t="str">
        <f t="shared" si="1162"/>
        <v>AA0007</v>
      </c>
      <c r="E1883" s="4" t="str">
        <f t="shared" si="1163"/>
        <v>银河水星1号集合</v>
      </c>
      <c r="F1883" s="4">
        <v>0</v>
      </c>
      <c r="G1883" s="4">
        <v>0</v>
      </c>
      <c r="H1883" s="4">
        <v>0</v>
      </c>
      <c r="I1883" s="4">
        <v>0.05</v>
      </c>
      <c r="J1883" s="4">
        <v>5.73</v>
      </c>
      <c r="K1883" s="4">
        <v>0</v>
      </c>
    </row>
    <row r="1884" spans="1:11">
      <c r="A1884" s="4" t="str">
        <f t="shared" si="1164"/>
        <v>20210618</v>
      </c>
      <c r="B1884" s="4" t="str">
        <f t="shared" si="1165"/>
        <v>20210618</v>
      </c>
      <c r="C1884" s="4" t="str">
        <f>"港股通组合费"</f>
        <v>港股通组合费</v>
      </c>
      <c r="D1884" s="4" t="str">
        <f>""</f>
        <v/>
      </c>
      <c r="E1884" s="4" t="str">
        <f>""</f>
        <v/>
      </c>
      <c r="F1884" s="4">
        <v>0</v>
      </c>
      <c r="G1884" s="4">
        <v>0</v>
      </c>
      <c r="H1884" s="4">
        <v>0.05</v>
      </c>
      <c r="I1884" s="4">
        <v>-0.05</v>
      </c>
      <c r="J1884" s="4">
        <v>5.68</v>
      </c>
      <c r="K1884" s="4">
        <v>0</v>
      </c>
    </row>
    <row r="1885" spans="1:11">
      <c r="A1885" s="4" t="str">
        <f t="shared" ref="A1885:A1887" si="1166">"20210621"</f>
        <v>20210621</v>
      </c>
      <c r="B1885" s="4" t="str">
        <f t="shared" ref="B1885:B1887" si="1167">"20210621"</f>
        <v>20210621</v>
      </c>
      <c r="C1885" s="4" t="str">
        <f>"基金申购拨出"</f>
        <v>基金申购拨出</v>
      </c>
      <c r="D1885" s="4" t="str">
        <f t="shared" si="1162"/>
        <v>AA0007</v>
      </c>
      <c r="E1885" s="4" t="str">
        <f t="shared" si="1163"/>
        <v>银河水星1号集合</v>
      </c>
      <c r="F1885" s="4">
        <v>0</v>
      </c>
      <c r="G1885" s="4">
        <v>0</v>
      </c>
      <c r="H1885" s="4">
        <v>0</v>
      </c>
      <c r="I1885" s="4">
        <v>-14181.48</v>
      </c>
      <c r="J1885" s="4">
        <v>-14175.8</v>
      </c>
      <c r="K1885" s="4">
        <v>0</v>
      </c>
    </row>
    <row r="1886" spans="1:11">
      <c r="A1886" s="4" t="str">
        <f t="shared" si="1166"/>
        <v>20210621</v>
      </c>
      <c r="B1886" s="4" t="str">
        <f t="shared" si="1167"/>
        <v>20210621</v>
      </c>
      <c r="C1886" s="4" t="str">
        <f>"证券卖出"</f>
        <v>证券卖出</v>
      </c>
      <c r="D1886" s="4" t="str">
        <f>"002484"</f>
        <v>002484</v>
      </c>
      <c r="E1886" s="4" t="str">
        <f>"江海股份"</f>
        <v>江海股份</v>
      </c>
      <c r="F1886" s="4">
        <v>14.2</v>
      </c>
      <c r="G1886" s="4">
        <v>1000</v>
      </c>
      <c r="H1886" s="4">
        <v>14200</v>
      </c>
      <c r="I1886" s="4">
        <v>14180.8</v>
      </c>
      <c r="J1886" s="4">
        <v>5</v>
      </c>
      <c r="K1886" s="4">
        <v>0</v>
      </c>
    </row>
    <row r="1887" spans="1:11">
      <c r="A1887" s="4" t="str">
        <f t="shared" si="1166"/>
        <v>20210621</v>
      </c>
      <c r="B1887" s="4" t="str">
        <f t="shared" si="1167"/>
        <v>20210621</v>
      </c>
      <c r="C1887" s="4" t="str">
        <f>"港股通组合费"</f>
        <v>港股通组合费</v>
      </c>
      <c r="D1887" s="4" t="str">
        <f>""</f>
        <v/>
      </c>
      <c r="E1887" s="4" t="str">
        <f>""</f>
        <v/>
      </c>
      <c r="F1887" s="4">
        <v>0</v>
      </c>
      <c r="G1887" s="4">
        <v>0</v>
      </c>
      <c r="H1887" s="4">
        <v>0.15</v>
      </c>
      <c r="I1887" s="4">
        <v>-0.15</v>
      </c>
      <c r="J1887" s="4">
        <v>4.85</v>
      </c>
      <c r="K1887" s="4">
        <v>0</v>
      </c>
    </row>
    <row r="1888" spans="1:11">
      <c r="A1888" s="4" t="str">
        <f t="shared" ref="A1888:A1890" si="1168">"20210622"</f>
        <v>20210622</v>
      </c>
      <c r="B1888" s="4" t="str">
        <f>"20210622"</f>
        <v>20210622</v>
      </c>
      <c r="C1888" s="4" t="str">
        <f>"基金赎回拨入"</f>
        <v>基金赎回拨入</v>
      </c>
      <c r="D1888" s="4" t="str">
        <f t="shared" ref="D1888:D1891" si="1169">"AA0007"</f>
        <v>AA0007</v>
      </c>
      <c r="E1888" s="4" t="str">
        <f>"银河水星1号集合"</f>
        <v>银河水星1号集合</v>
      </c>
      <c r="F1888" s="4">
        <v>0</v>
      </c>
      <c r="G1888" s="4">
        <v>0</v>
      </c>
      <c r="H1888" s="4">
        <v>0</v>
      </c>
      <c r="I1888" s="4">
        <v>0.15</v>
      </c>
      <c r="J1888" s="4">
        <v>5</v>
      </c>
      <c r="K1888" s="4">
        <v>0</v>
      </c>
    </row>
    <row r="1889" spans="1:11">
      <c r="A1889" s="4" t="str">
        <f t="shared" si="1168"/>
        <v>20210622</v>
      </c>
      <c r="B1889" s="4" t="str">
        <f>"0"</f>
        <v>0</v>
      </c>
      <c r="C1889" s="4" t="str">
        <f>"基金红利拨入"</f>
        <v>基金红利拨入</v>
      </c>
      <c r="D1889" s="4" t="str">
        <f t="shared" si="1169"/>
        <v>AA0007</v>
      </c>
      <c r="E1889" s="4" t="str">
        <f>"银河水星1号"</f>
        <v>银河水星1号</v>
      </c>
      <c r="F1889" s="4">
        <v>0</v>
      </c>
      <c r="G1889" s="4">
        <v>0</v>
      </c>
      <c r="H1889" s="4">
        <v>136.58</v>
      </c>
      <c r="I1889" s="4">
        <v>136.58</v>
      </c>
      <c r="J1889" s="4">
        <v>141.58</v>
      </c>
      <c r="K1889" s="4">
        <v>0</v>
      </c>
    </row>
    <row r="1890" spans="1:11">
      <c r="A1890" s="4" t="str">
        <f t="shared" si="1168"/>
        <v>20210622</v>
      </c>
      <c r="B1890" s="4" t="str">
        <f>"20210622"</f>
        <v>20210622</v>
      </c>
      <c r="C1890" s="4" t="str">
        <f>"港股通组合费"</f>
        <v>港股通组合费</v>
      </c>
      <c r="D1890" s="4" t="str">
        <f>""</f>
        <v/>
      </c>
      <c r="E1890" s="4" t="str">
        <f>""</f>
        <v/>
      </c>
      <c r="F1890" s="4">
        <v>0</v>
      </c>
      <c r="G1890" s="4">
        <v>0</v>
      </c>
      <c r="H1890" s="4">
        <v>0.05</v>
      </c>
      <c r="I1890" s="4">
        <v>-0.05</v>
      </c>
      <c r="J1890" s="4">
        <v>141.53</v>
      </c>
      <c r="K1890" s="4">
        <v>0</v>
      </c>
    </row>
    <row r="1891" spans="1:11">
      <c r="A1891" s="4" t="str">
        <f t="shared" ref="A1891:A1893" si="1170">"20210623"</f>
        <v>20210623</v>
      </c>
      <c r="B1891" s="4" t="str">
        <f t="shared" ref="B1891:B1893" si="1171">"20210623"</f>
        <v>20210623</v>
      </c>
      <c r="C1891" s="4" t="str">
        <f>"基金赎回拨入"</f>
        <v>基金赎回拨入</v>
      </c>
      <c r="D1891" s="4" t="str">
        <f t="shared" si="1169"/>
        <v>AA0007</v>
      </c>
      <c r="E1891" s="4" t="str">
        <f>"银河水星1号集合"</f>
        <v>银河水星1号集合</v>
      </c>
      <c r="F1891" s="4">
        <v>0</v>
      </c>
      <c r="G1891" s="4">
        <v>12628</v>
      </c>
      <c r="H1891" s="4">
        <v>0</v>
      </c>
      <c r="I1891" s="4">
        <v>12628.47</v>
      </c>
      <c r="J1891" s="4">
        <v>12770</v>
      </c>
      <c r="K1891" s="4">
        <v>0</v>
      </c>
    </row>
    <row r="1892" spans="1:11">
      <c r="A1892" s="4" t="str">
        <f t="shared" si="1170"/>
        <v>20210623</v>
      </c>
      <c r="B1892" s="4" t="str">
        <f t="shared" si="1171"/>
        <v>20210623</v>
      </c>
      <c r="C1892" s="4" t="str">
        <f>"证券买入"</f>
        <v>证券买入</v>
      </c>
      <c r="D1892" s="4" t="str">
        <f>"003016"</f>
        <v>003016</v>
      </c>
      <c r="E1892" s="4" t="str">
        <f>"欣贺股份"</f>
        <v>欣贺股份</v>
      </c>
      <c r="F1892" s="4">
        <v>12.76</v>
      </c>
      <c r="G1892" s="4">
        <v>1000</v>
      </c>
      <c r="H1892" s="4">
        <v>12760</v>
      </c>
      <c r="I1892" s="4">
        <v>-12765</v>
      </c>
      <c r="J1892" s="4">
        <v>5</v>
      </c>
      <c r="K1892" s="4">
        <v>1000</v>
      </c>
    </row>
    <row r="1893" spans="1:11">
      <c r="A1893" s="4" t="str">
        <f t="shared" si="1170"/>
        <v>20210623</v>
      </c>
      <c r="B1893" s="4" t="str">
        <f t="shared" si="1171"/>
        <v>20210623</v>
      </c>
      <c r="C1893" s="4" t="str">
        <f t="shared" ref="C1893:C1898" si="1172">"港股通组合费"</f>
        <v>港股通组合费</v>
      </c>
      <c r="D1893" s="4" t="str">
        <f t="shared" ref="D1893:D1898" si="1173">""</f>
        <v/>
      </c>
      <c r="E1893" s="4" t="str">
        <f t="shared" ref="E1893:E1898" si="1174">""</f>
        <v/>
      </c>
      <c r="F1893" s="4">
        <v>0</v>
      </c>
      <c r="G1893" s="4">
        <v>0</v>
      </c>
      <c r="H1893" s="4">
        <v>0.05</v>
      </c>
      <c r="I1893" s="4">
        <v>-0.05</v>
      </c>
      <c r="J1893" s="4">
        <v>4.95</v>
      </c>
      <c r="K1893" s="4">
        <v>0</v>
      </c>
    </row>
    <row r="1894" spans="1:11">
      <c r="A1894" s="4" t="str">
        <f t="shared" ref="A1894:A1896" si="1175">"20210624"</f>
        <v>20210624</v>
      </c>
      <c r="B1894" s="4" t="str">
        <f t="shared" ref="B1894:B1896" si="1176">"20210624"</f>
        <v>20210624</v>
      </c>
      <c r="C1894" s="4" t="str">
        <f>"基金申购拨出"</f>
        <v>基金申购拨出</v>
      </c>
      <c r="D1894" s="4" t="str">
        <f t="shared" ref="D1894:D1899" si="1177">"AA0007"</f>
        <v>AA0007</v>
      </c>
      <c r="E1894" s="4" t="str">
        <f t="shared" ref="E1894:E1899" si="1178">"银河水星1号集合"</f>
        <v>银河水星1号集合</v>
      </c>
      <c r="F1894" s="4">
        <v>0</v>
      </c>
      <c r="G1894" s="4">
        <v>0</v>
      </c>
      <c r="H1894" s="4">
        <v>0</v>
      </c>
      <c r="I1894" s="4">
        <v>-14100.83</v>
      </c>
      <c r="J1894" s="4">
        <v>-14095.88</v>
      </c>
      <c r="K1894" s="4">
        <v>0</v>
      </c>
    </row>
    <row r="1895" spans="1:11">
      <c r="A1895" s="4" t="str">
        <f t="shared" si="1175"/>
        <v>20210624</v>
      </c>
      <c r="B1895" s="4" t="str">
        <f t="shared" si="1176"/>
        <v>20210624</v>
      </c>
      <c r="C1895" s="4" t="str">
        <f>"证券卖出"</f>
        <v>证券卖出</v>
      </c>
      <c r="D1895" s="4" t="str">
        <f>"003016"</f>
        <v>003016</v>
      </c>
      <c r="E1895" s="4" t="str">
        <f>"欣贺股份"</f>
        <v>欣贺股份</v>
      </c>
      <c r="F1895" s="4">
        <v>14.12</v>
      </c>
      <c r="G1895" s="4">
        <v>1000</v>
      </c>
      <c r="H1895" s="4">
        <v>14120</v>
      </c>
      <c r="I1895" s="4">
        <v>14100.88</v>
      </c>
      <c r="J1895" s="4">
        <v>5</v>
      </c>
      <c r="K1895" s="4">
        <v>0</v>
      </c>
    </row>
    <row r="1896" spans="1:11">
      <c r="A1896" s="4" t="str">
        <f t="shared" si="1175"/>
        <v>20210624</v>
      </c>
      <c r="B1896" s="4" t="str">
        <f t="shared" si="1176"/>
        <v>20210624</v>
      </c>
      <c r="C1896" s="4" t="str">
        <f t="shared" si="1172"/>
        <v>港股通组合费</v>
      </c>
      <c r="D1896" s="4" t="str">
        <f t="shared" si="1173"/>
        <v/>
      </c>
      <c r="E1896" s="4" t="str">
        <f t="shared" si="1174"/>
        <v/>
      </c>
      <c r="F1896" s="4">
        <v>0</v>
      </c>
      <c r="G1896" s="4">
        <v>0</v>
      </c>
      <c r="H1896" s="4">
        <v>0.05</v>
      </c>
      <c r="I1896" s="4">
        <v>-0.05</v>
      </c>
      <c r="J1896" s="4">
        <v>4.95</v>
      </c>
      <c r="K1896" s="4">
        <v>0</v>
      </c>
    </row>
    <row r="1897" spans="1:11">
      <c r="A1897" s="4" t="str">
        <f>"20210625"</f>
        <v>20210625</v>
      </c>
      <c r="B1897" s="4" t="str">
        <f>"20210625"</f>
        <v>20210625</v>
      </c>
      <c r="C1897" s="4" t="str">
        <f t="shared" ref="C1897:C1901" si="1179">"基金赎回拨入"</f>
        <v>基金赎回拨入</v>
      </c>
      <c r="D1897" s="4" t="str">
        <f t="shared" si="1177"/>
        <v>AA0007</v>
      </c>
      <c r="E1897" s="4" t="str">
        <f t="shared" si="1178"/>
        <v>银河水星1号集合</v>
      </c>
      <c r="F1897" s="4">
        <v>0</v>
      </c>
      <c r="G1897" s="4">
        <v>0</v>
      </c>
      <c r="H1897" s="4">
        <v>0</v>
      </c>
      <c r="I1897" s="4">
        <v>0.05</v>
      </c>
      <c r="J1897" s="4">
        <v>5</v>
      </c>
      <c r="K1897" s="4">
        <v>0</v>
      </c>
    </row>
    <row r="1898" spans="1:11">
      <c r="A1898" s="4" t="str">
        <f>"20210625"</f>
        <v>20210625</v>
      </c>
      <c r="B1898" s="4" t="str">
        <f>"20210625"</f>
        <v>20210625</v>
      </c>
      <c r="C1898" s="4" t="str">
        <f t="shared" si="1172"/>
        <v>港股通组合费</v>
      </c>
      <c r="D1898" s="4" t="str">
        <f t="shared" si="1173"/>
        <v/>
      </c>
      <c r="E1898" s="4" t="str">
        <f t="shared" si="1174"/>
        <v/>
      </c>
      <c r="F1898" s="4">
        <v>0</v>
      </c>
      <c r="G1898" s="4">
        <v>0</v>
      </c>
      <c r="H1898" s="4">
        <v>0.05</v>
      </c>
      <c r="I1898" s="4">
        <v>-0.05</v>
      </c>
      <c r="J1898" s="4">
        <v>4.95</v>
      </c>
      <c r="K1898" s="4">
        <v>0</v>
      </c>
    </row>
    <row r="1899" spans="1:11">
      <c r="A1899" s="4" t="str">
        <f>"20210628"</f>
        <v>20210628</v>
      </c>
      <c r="B1899" s="4" t="str">
        <f>"20210628"</f>
        <v>20210628</v>
      </c>
      <c r="C1899" s="4" t="str">
        <f t="shared" si="1179"/>
        <v>基金赎回拨入</v>
      </c>
      <c r="D1899" s="4" t="str">
        <f t="shared" si="1177"/>
        <v>AA0007</v>
      </c>
      <c r="E1899" s="4" t="str">
        <f t="shared" si="1178"/>
        <v>银河水星1号集合</v>
      </c>
      <c r="F1899" s="4">
        <v>0</v>
      </c>
      <c r="G1899" s="4">
        <v>0</v>
      </c>
      <c r="H1899" s="4">
        <v>0</v>
      </c>
      <c r="I1899" s="4">
        <v>0.05</v>
      </c>
      <c r="J1899" s="4">
        <v>5</v>
      </c>
      <c r="K1899" s="4">
        <v>0</v>
      </c>
    </row>
    <row r="1900" spans="1:11">
      <c r="A1900" s="4" t="str">
        <f>"20210628"</f>
        <v>20210628</v>
      </c>
      <c r="B1900" s="4" t="str">
        <f>"20210628"</f>
        <v>20210628</v>
      </c>
      <c r="C1900" s="4" t="str">
        <f t="shared" ref="C1900:C1905" si="1180">"港股通组合费"</f>
        <v>港股通组合费</v>
      </c>
      <c r="D1900" s="4" t="str">
        <f t="shared" ref="D1900:D1905" si="1181">""</f>
        <v/>
      </c>
      <c r="E1900" s="4" t="str">
        <f t="shared" ref="E1900:E1905" si="1182">""</f>
        <v/>
      </c>
      <c r="F1900" s="4">
        <v>0</v>
      </c>
      <c r="G1900" s="4">
        <v>0</v>
      </c>
      <c r="H1900" s="4">
        <v>0.15</v>
      </c>
      <c r="I1900" s="4">
        <v>-0.15</v>
      </c>
      <c r="J1900" s="4">
        <v>4.85</v>
      </c>
      <c r="K1900" s="4">
        <v>0</v>
      </c>
    </row>
    <row r="1901" spans="1:11">
      <c r="A1901" s="4" t="str">
        <f t="shared" ref="A1901:A1903" si="1183">"20210629"</f>
        <v>20210629</v>
      </c>
      <c r="B1901" s="4" t="str">
        <f t="shared" ref="B1901:B1903" si="1184">"20210629"</f>
        <v>20210629</v>
      </c>
      <c r="C1901" s="4" t="str">
        <f t="shared" si="1179"/>
        <v>基金赎回拨入</v>
      </c>
      <c r="D1901" s="4" t="str">
        <f t="shared" ref="D1901:D1906" si="1185">"AA0007"</f>
        <v>AA0007</v>
      </c>
      <c r="E1901" s="4" t="str">
        <f t="shared" ref="E1901:E1906" si="1186">"银河水星1号集合"</f>
        <v>银河水星1号集合</v>
      </c>
      <c r="F1901" s="4">
        <v>0</v>
      </c>
      <c r="G1901" s="4">
        <v>0</v>
      </c>
      <c r="H1901" s="4">
        <v>0</v>
      </c>
      <c r="I1901" s="4">
        <v>0.15</v>
      </c>
      <c r="J1901" s="4">
        <v>5</v>
      </c>
      <c r="K1901" s="4">
        <v>0</v>
      </c>
    </row>
    <row r="1902" spans="1:11">
      <c r="A1902" s="4" t="str">
        <f t="shared" si="1183"/>
        <v>20210629</v>
      </c>
      <c r="B1902" s="4" t="str">
        <f t="shared" si="1184"/>
        <v>20210629</v>
      </c>
      <c r="C1902" s="4" t="str">
        <f>"港股通红利发放"</f>
        <v>港股通红利发放</v>
      </c>
      <c r="D1902" s="4" t="str">
        <f>"00386"</f>
        <v>00386</v>
      </c>
      <c r="E1902" s="4" t="str">
        <f>"中国石油"</f>
        <v>中国石油</v>
      </c>
      <c r="F1902" s="4">
        <v>0.1</v>
      </c>
      <c r="G1902" s="4">
        <v>54000</v>
      </c>
      <c r="H1902" s="4">
        <v>5616</v>
      </c>
      <c r="I1902" s="4">
        <v>5616</v>
      </c>
      <c r="J1902" s="4">
        <v>5621</v>
      </c>
      <c r="K1902" s="4">
        <v>54000</v>
      </c>
    </row>
    <row r="1903" spans="1:11">
      <c r="A1903" s="4" t="str">
        <f t="shared" si="1183"/>
        <v>20210629</v>
      </c>
      <c r="B1903" s="4" t="str">
        <f t="shared" si="1184"/>
        <v>20210629</v>
      </c>
      <c r="C1903" s="4" t="str">
        <f t="shared" si="1180"/>
        <v>港股通组合费</v>
      </c>
      <c r="D1903" s="4" t="str">
        <f t="shared" si="1181"/>
        <v/>
      </c>
      <c r="E1903" s="4" t="str">
        <f t="shared" si="1182"/>
        <v/>
      </c>
      <c r="F1903" s="4">
        <v>0</v>
      </c>
      <c r="G1903" s="4">
        <v>0</v>
      </c>
      <c r="H1903" s="4">
        <v>0.05</v>
      </c>
      <c r="I1903" s="4">
        <v>-0.05</v>
      </c>
      <c r="J1903" s="4">
        <v>5620.95</v>
      </c>
      <c r="K1903" s="4">
        <v>0</v>
      </c>
    </row>
    <row r="1904" spans="1:11">
      <c r="A1904" s="4" t="str">
        <f>"20210630"</f>
        <v>20210630</v>
      </c>
      <c r="B1904" s="4" t="str">
        <f>"20210630"</f>
        <v>20210630</v>
      </c>
      <c r="C1904" s="4" t="str">
        <f>"基金申购拨出"</f>
        <v>基金申购拨出</v>
      </c>
      <c r="D1904" s="4" t="str">
        <f t="shared" si="1185"/>
        <v>AA0007</v>
      </c>
      <c r="E1904" s="4" t="str">
        <f t="shared" si="1186"/>
        <v>银河水星1号集合</v>
      </c>
      <c r="F1904" s="4">
        <v>0</v>
      </c>
      <c r="G1904" s="4">
        <v>0</v>
      </c>
      <c r="H1904" s="4">
        <v>0</v>
      </c>
      <c r="I1904" s="4">
        <v>-5615.95</v>
      </c>
      <c r="J1904" s="4">
        <v>5</v>
      </c>
      <c r="K1904" s="4">
        <v>0</v>
      </c>
    </row>
    <row r="1905" spans="1:11">
      <c r="A1905" s="4" t="str">
        <f>"20210630"</f>
        <v>20210630</v>
      </c>
      <c r="B1905" s="4" t="str">
        <f>"20210630"</f>
        <v>20210630</v>
      </c>
      <c r="C1905" s="4" t="str">
        <f t="shared" si="1180"/>
        <v>港股通组合费</v>
      </c>
      <c r="D1905" s="4" t="str">
        <f t="shared" si="1181"/>
        <v/>
      </c>
      <c r="E1905" s="4" t="str">
        <f t="shared" si="1182"/>
        <v/>
      </c>
      <c r="F1905" s="4">
        <v>0</v>
      </c>
      <c r="G1905" s="4">
        <v>0</v>
      </c>
      <c r="H1905" s="4">
        <v>0.05</v>
      </c>
      <c r="I1905" s="4">
        <v>-0.05</v>
      </c>
      <c r="J1905" s="4">
        <v>4.95</v>
      </c>
      <c r="K1905" s="4">
        <v>0</v>
      </c>
    </row>
    <row r="1906" spans="1:11">
      <c r="A1906" s="4" t="str">
        <f>"20210701"</f>
        <v>20210701</v>
      </c>
      <c r="B1906" s="4" t="str">
        <f>"20210701"</f>
        <v>20210701</v>
      </c>
      <c r="C1906" s="4" t="str">
        <f t="shared" ref="C1906:C1910" si="1187">"基金赎回拨入"</f>
        <v>基金赎回拨入</v>
      </c>
      <c r="D1906" s="4" t="str">
        <f t="shared" si="1185"/>
        <v>AA0007</v>
      </c>
      <c r="E1906" s="4" t="str">
        <f t="shared" si="1186"/>
        <v>银河水星1号集合</v>
      </c>
      <c r="F1906" s="4">
        <v>0</v>
      </c>
      <c r="G1906" s="4">
        <v>0</v>
      </c>
      <c r="H1906" s="4">
        <v>0</v>
      </c>
      <c r="I1906" s="4">
        <v>0.05</v>
      </c>
      <c r="J1906" s="4">
        <v>5</v>
      </c>
      <c r="K1906" s="4">
        <v>0</v>
      </c>
    </row>
    <row r="1907" spans="1:11">
      <c r="A1907" s="4" t="str">
        <f>"20210702"</f>
        <v>20210702</v>
      </c>
      <c r="B1907" s="4" t="str">
        <f>"20210702"</f>
        <v>20210702</v>
      </c>
      <c r="C1907" s="4" t="str">
        <f t="shared" ref="C1907:C1912" si="1188">"港股通组合费"</f>
        <v>港股通组合费</v>
      </c>
      <c r="D1907" s="4" t="str">
        <f t="shared" ref="D1907:D1912" si="1189">""</f>
        <v/>
      </c>
      <c r="E1907" s="4" t="str">
        <f t="shared" ref="E1907:E1912" si="1190">""</f>
        <v/>
      </c>
      <c r="F1907" s="4">
        <v>0</v>
      </c>
      <c r="G1907" s="4">
        <v>0</v>
      </c>
      <c r="H1907" s="4">
        <v>-0.1</v>
      </c>
      <c r="I1907" s="4">
        <v>-0.1</v>
      </c>
      <c r="J1907" s="4">
        <v>4.9</v>
      </c>
      <c r="K1907" s="4">
        <v>0</v>
      </c>
    </row>
    <row r="1908" spans="1:11">
      <c r="A1908" s="4" t="str">
        <f>"20210705"</f>
        <v>20210705</v>
      </c>
      <c r="B1908" s="4" t="str">
        <f>"20210705"</f>
        <v>20210705</v>
      </c>
      <c r="C1908" s="4" t="str">
        <f t="shared" si="1187"/>
        <v>基金赎回拨入</v>
      </c>
      <c r="D1908" s="4" t="str">
        <f t="shared" ref="D1908:D1913" si="1191">"AA0007"</f>
        <v>AA0007</v>
      </c>
      <c r="E1908" s="4" t="str">
        <f t="shared" ref="E1908:E1913" si="1192">"银河水星1号集合"</f>
        <v>银河水星1号集合</v>
      </c>
      <c r="F1908" s="4">
        <v>0</v>
      </c>
      <c r="G1908" s="4">
        <v>0</v>
      </c>
      <c r="H1908" s="4">
        <v>0</v>
      </c>
      <c r="I1908" s="4">
        <v>0.1</v>
      </c>
      <c r="J1908" s="4">
        <v>5</v>
      </c>
      <c r="K1908" s="4">
        <v>0</v>
      </c>
    </row>
    <row r="1909" spans="1:11">
      <c r="A1909" s="4" t="str">
        <f>"20210705"</f>
        <v>20210705</v>
      </c>
      <c r="B1909" s="4" t="str">
        <f>"20210705"</f>
        <v>20210705</v>
      </c>
      <c r="C1909" s="4" t="str">
        <f t="shared" si="1188"/>
        <v>港股通组合费</v>
      </c>
      <c r="D1909" s="4" t="str">
        <f t="shared" si="1189"/>
        <v/>
      </c>
      <c r="E1909" s="4" t="str">
        <f t="shared" si="1190"/>
        <v/>
      </c>
      <c r="F1909" s="4">
        <v>0</v>
      </c>
      <c r="G1909" s="4">
        <v>0</v>
      </c>
      <c r="H1909" s="4">
        <v>-0.15</v>
      </c>
      <c r="I1909" s="4">
        <v>-0.15</v>
      </c>
      <c r="J1909" s="4">
        <v>4.85</v>
      </c>
      <c r="K1909" s="4">
        <v>0</v>
      </c>
    </row>
    <row r="1910" spans="1:11">
      <c r="A1910" s="4" t="str">
        <f t="shared" ref="A1910:A1912" si="1193">"20210706"</f>
        <v>20210706</v>
      </c>
      <c r="B1910" s="4" t="str">
        <f t="shared" ref="B1910:B1912" si="1194">"20210706"</f>
        <v>20210706</v>
      </c>
      <c r="C1910" s="4" t="str">
        <f t="shared" si="1187"/>
        <v>基金赎回拨入</v>
      </c>
      <c r="D1910" s="4" t="str">
        <f t="shared" si="1191"/>
        <v>AA0007</v>
      </c>
      <c r="E1910" s="4" t="str">
        <f t="shared" si="1192"/>
        <v>银河水星1号集合</v>
      </c>
      <c r="F1910" s="4">
        <v>0</v>
      </c>
      <c r="G1910" s="4">
        <v>59156</v>
      </c>
      <c r="H1910" s="4">
        <v>0</v>
      </c>
      <c r="I1910" s="4">
        <v>59156.68</v>
      </c>
      <c r="J1910" s="4">
        <v>59161.53</v>
      </c>
      <c r="K1910" s="4">
        <v>0</v>
      </c>
    </row>
    <row r="1911" spans="1:11">
      <c r="A1911" s="4" t="str">
        <f t="shared" si="1193"/>
        <v>20210706</v>
      </c>
      <c r="B1911" s="4" t="str">
        <f t="shared" si="1194"/>
        <v>20210706</v>
      </c>
      <c r="C1911" s="4" t="str">
        <f>"证券买入"</f>
        <v>证券买入</v>
      </c>
      <c r="D1911" s="4" t="str">
        <f t="shared" ref="D1911:D1915" si="1195">"510300"</f>
        <v>510300</v>
      </c>
      <c r="E1911" s="4" t="str">
        <f t="shared" ref="E1911:E1915" si="1196">"300ETF"</f>
        <v>300ETF</v>
      </c>
      <c r="F1911" s="4">
        <v>5.099</v>
      </c>
      <c r="G1911" s="4">
        <v>11600</v>
      </c>
      <c r="H1911" s="4">
        <v>59144.7</v>
      </c>
      <c r="I1911" s="4">
        <v>-59156.53</v>
      </c>
      <c r="J1911" s="4">
        <v>5</v>
      </c>
      <c r="K1911" s="4">
        <v>11600</v>
      </c>
    </row>
    <row r="1912" spans="1:11">
      <c r="A1912" s="4" t="str">
        <f t="shared" si="1193"/>
        <v>20210706</v>
      </c>
      <c r="B1912" s="4" t="str">
        <f t="shared" si="1194"/>
        <v>20210706</v>
      </c>
      <c r="C1912" s="4" t="str">
        <f t="shared" si="1188"/>
        <v>港股通组合费</v>
      </c>
      <c r="D1912" s="4" t="str">
        <f t="shared" si="1189"/>
        <v/>
      </c>
      <c r="E1912" s="4" t="str">
        <f t="shared" si="1190"/>
        <v/>
      </c>
      <c r="F1912" s="4">
        <v>0</v>
      </c>
      <c r="G1912" s="4">
        <v>0</v>
      </c>
      <c r="H1912" s="4">
        <v>-0.05</v>
      </c>
      <c r="I1912" s="4">
        <v>-0.05</v>
      </c>
      <c r="J1912" s="4">
        <v>4.95</v>
      </c>
      <c r="K1912" s="4">
        <v>0</v>
      </c>
    </row>
    <row r="1913" spans="1:11">
      <c r="A1913" s="4" t="str">
        <f t="shared" ref="A1913:A1916" si="1197">"20210707"</f>
        <v>20210707</v>
      </c>
      <c r="B1913" s="4" t="str">
        <f t="shared" ref="B1913:B1916" si="1198">"20210707"</f>
        <v>20210707</v>
      </c>
      <c r="C1913" s="4" t="str">
        <f>"基金申购拨出"</f>
        <v>基金申购拨出</v>
      </c>
      <c r="D1913" s="4" t="str">
        <f t="shared" si="1191"/>
        <v>AA0007</v>
      </c>
      <c r="E1913" s="4" t="str">
        <f t="shared" si="1192"/>
        <v>银河水星1号集合</v>
      </c>
      <c r="F1913" s="4">
        <v>0</v>
      </c>
      <c r="G1913" s="4">
        <v>0</v>
      </c>
      <c r="H1913" s="4">
        <v>0</v>
      </c>
      <c r="I1913" s="4">
        <v>-10348.95</v>
      </c>
      <c r="J1913" s="4">
        <v>-10344</v>
      </c>
      <c r="K1913" s="4">
        <v>0</v>
      </c>
    </row>
    <row r="1914" spans="1:11">
      <c r="A1914" s="4" t="str">
        <f t="shared" si="1197"/>
        <v>20210707</v>
      </c>
      <c r="B1914" s="4" t="str">
        <f t="shared" si="1198"/>
        <v>20210707</v>
      </c>
      <c r="C1914" s="4" t="str">
        <f>"证券卖出"</f>
        <v>证券卖出</v>
      </c>
      <c r="D1914" s="4" t="str">
        <f t="shared" si="1195"/>
        <v>510300</v>
      </c>
      <c r="E1914" s="4" t="str">
        <f t="shared" si="1196"/>
        <v>300ETF</v>
      </c>
      <c r="F1914" s="4">
        <v>5.156</v>
      </c>
      <c r="G1914" s="4">
        <v>2000</v>
      </c>
      <c r="H1914" s="4">
        <v>10312</v>
      </c>
      <c r="I1914" s="4">
        <v>10307</v>
      </c>
      <c r="J1914" s="4">
        <v>-37</v>
      </c>
      <c r="K1914" s="4">
        <v>9600</v>
      </c>
    </row>
    <row r="1915" spans="1:11">
      <c r="A1915" s="4" t="str">
        <f t="shared" si="1197"/>
        <v>20210707</v>
      </c>
      <c r="B1915" s="4" t="str">
        <f t="shared" si="1198"/>
        <v>20210707</v>
      </c>
      <c r="C1915" s="4" t="str">
        <f>"证券卖出"</f>
        <v>证券卖出</v>
      </c>
      <c r="D1915" s="4" t="str">
        <f t="shared" si="1195"/>
        <v>510300</v>
      </c>
      <c r="E1915" s="4" t="str">
        <f t="shared" si="1196"/>
        <v>300ETF</v>
      </c>
      <c r="F1915" s="4">
        <v>5.182</v>
      </c>
      <c r="G1915" s="4">
        <v>2000</v>
      </c>
      <c r="H1915" s="4">
        <v>10364</v>
      </c>
      <c r="I1915" s="4">
        <v>10359</v>
      </c>
      <c r="J1915" s="4">
        <v>10322</v>
      </c>
      <c r="K1915" s="4">
        <v>7600</v>
      </c>
    </row>
    <row r="1916" spans="1:11">
      <c r="A1916" s="4" t="str">
        <f t="shared" si="1197"/>
        <v>20210707</v>
      </c>
      <c r="B1916" s="4" t="str">
        <f t="shared" si="1198"/>
        <v>20210707</v>
      </c>
      <c r="C1916" s="4" t="str">
        <f>"港股通组合费"</f>
        <v>港股通组合费</v>
      </c>
      <c r="D1916" s="4" t="str">
        <f>""</f>
        <v/>
      </c>
      <c r="E1916" s="4" t="str">
        <f>""</f>
        <v/>
      </c>
      <c r="F1916" s="4">
        <v>0</v>
      </c>
      <c r="G1916" s="4">
        <v>0</v>
      </c>
      <c r="H1916" s="4">
        <v>-0.05</v>
      </c>
      <c r="I1916" s="4">
        <v>-0.05</v>
      </c>
      <c r="J1916" s="4">
        <v>10321.95</v>
      </c>
      <c r="K1916" s="4">
        <v>0</v>
      </c>
    </row>
    <row r="1917" spans="1:11">
      <c r="A1917" s="4" t="str">
        <f t="shared" ref="A1917:A1920" si="1199">"20210708"</f>
        <v>20210708</v>
      </c>
      <c r="B1917" s="4" t="str">
        <f t="shared" ref="B1917:B1920" si="1200">"20210708"</f>
        <v>20210708</v>
      </c>
      <c r="C1917" s="4" t="str">
        <f>"基金赎回拨入"</f>
        <v>基金赎回拨入</v>
      </c>
      <c r="D1917" s="4" t="str">
        <f>"AA0007"</f>
        <v>AA0007</v>
      </c>
      <c r="E1917" s="4" t="str">
        <f>"银河水星1号集合"</f>
        <v>银河水星1号集合</v>
      </c>
      <c r="F1917" s="4">
        <v>0</v>
      </c>
      <c r="G1917" s="4">
        <v>10265</v>
      </c>
      <c r="H1917" s="4">
        <v>0</v>
      </c>
      <c r="I1917" s="4">
        <v>10265.05</v>
      </c>
      <c r="J1917" s="4">
        <v>20587</v>
      </c>
      <c r="K1917" s="4">
        <v>0</v>
      </c>
    </row>
    <row r="1918" spans="1:11">
      <c r="A1918" s="4" t="str">
        <f t="shared" si="1199"/>
        <v>20210708</v>
      </c>
      <c r="B1918" s="4" t="str">
        <f t="shared" si="1200"/>
        <v>20210708</v>
      </c>
      <c r="C1918" s="4" t="str">
        <f>"证券买入"</f>
        <v>证券买入</v>
      </c>
      <c r="D1918" s="4" t="str">
        <f t="shared" ref="D1918:D1922" si="1201">"510300"</f>
        <v>510300</v>
      </c>
      <c r="E1918" s="4" t="str">
        <f t="shared" ref="E1918:E1922" si="1202">"300ETF"</f>
        <v>300ETF</v>
      </c>
      <c r="F1918" s="4">
        <v>5.156</v>
      </c>
      <c r="G1918" s="4">
        <v>2000</v>
      </c>
      <c r="H1918" s="4">
        <v>10312</v>
      </c>
      <c r="I1918" s="4">
        <v>-10317</v>
      </c>
      <c r="J1918" s="4">
        <v>10270</v>
      </c>
      <c r="K1918" s="4">
        <v>9600</v>
      </c>
    </row>
    <row r="1919" spans="1:11">
      <c r="A1919" s="4" t="str">
        <f t="shared" si="1199"/>
        <v>20210708</v>
      </c>
      <c r="B1919" s="4" t="str">
        <f t="shared" si="1200"/>
        <v>20210708</v>
      </c>
      <c r="C1919" s="4" t="str">
        <f>"证券买入"</f>
        <v>证券买入</v>
      </c>
      <c r="D1919" s="4" t="str">
        <f t="shared" si="1201"/>
        <v>510300</v>
      </c>
      <c r="E1919" s="4" t="str">
        <f t="shared" si="1202"/>
        <v>300ETF</v>
      </c>
      <c r="F1919" s="4">
        <v>5.13</v>
      </c>
      <c r="G1919" s="4">
        <v>2000</v>
      </c>
      <c r="H1919" s="4">
        <v>10260</v>
      </c>
      <c r="I1919" s="4">
        <v>-10265</v>
      </c>
      <c r="J1919" s="4">
        <v>5</v>
      </c>
      <c r="K1919" s="4">
        <v>11600</v>
      </c>
    </row>
    <row r="1920" spans="1:11">
      <c r="A1920" s="4" t="str">
        <f t="shared" si="1199"/>
        <v>20210708</v>
      </c>
      <c r="B1920" s="4" t="str">
        <f t="shared" si="1200"/>
        <v>20210708</v>
      </c>
      <c r="C1920" s="4" t="str">
        <f t="shared" ref="C1920:C1925" si="1203">"港股通组合费"</f>
        <v>港股通组合费</v>
      </c>
      <c r="D1920" s="4" t="str">
        <f t="shared" ref="D1920:D1925" si="1204">""</f>
        <v/>
      </c>
      <c r="E1920" s="4" t="str">
        <f t="shared" ref="E1920:E1925" si="1205">""</f>
        <v/>
      </c>
      <c r="F1920" s="4">
        <v>0</v>
      </c>
      <c r="G1920" s="4">
        <v>0</v>
      </c>
      <c r="H1920" s="4">
        <v>-0.05</v>
      </c>
      <c r="I1920" s="4">
        <v>-0.05</v>
      </c>
      <c r="J1920" s="4">
        <v>4.95</v>
      </c>
      <c r="K1920" s="4">
        <v>0</v>
      </c>
    </row>
    <row r="1921" spans="1:11">
      <c r="A1921" s="4" t="str">
        <f t="shared" ref="A1921:A1923" si="1206">"20210709"</f>
        <v>20210709</v>
      </c>
      <c r="B1921" s="4" t="str">
        <f t="shared" ref="B1921:B1923" si="1207">"20210709"</f>
        <v>20210709</v>
      </c>
      <c r="C1921" s="4" t="str">
        <f>"基金申购拨出"</f>
        <v>基金申购拨出</v>
      </c>
      <c r="D1921" s="4" t="str">
        <f t="shared" ref="D1921:D1926" si="1208">"AA0007"</f>
        <v>AA0007</v>
      </c>
      <c r="E1921" s="4" t="str">
        <f t="shared" ref="E1921:E1926" si="1209">"银河水星1号集合"</f>
        <v>银河水星1号集合</v>
      </c>
      <c r="F1921" s="4">
        <v>0</v>
      </c>
      <c r="G1921" s="4">
        <v>0</v>
      </c>
      <c r="H1921" s="4">
        <v>0</v>
      </c>
      <c r="I1921" s="4">
        <v>-59322.08</v>
      </c>
      <c r="J1921" s="4">
        <v>-59317.13</v>
      </c>
      <c r="K1921" s="4">
        <v>0</v>
      </c>
    </row>
    <row r="1922" spans="1:11">
      <c r="A1922" s="4" t="str">
        <f t="shared" si="1206"/>
        <v>20210709</v>
      </c>
      <c r="B1922" s="4" t="str">
        <f t="shared" si="1207"/>
        <v>20210709</v>
      </c>
      <c r="C1922" s="4" t="str">
        <f>"证券卖出"</f>
        <v>证券卖出</v>
      </c>
      <c r="D1922" s="4" t="str">
        <f t="shared" si="1201"/>
        <v>510300</v>
      </c>
      <c r="E1922" s="4" t="str">
        <f t="shared" si="1202"/>
        <v>300ETF</v>
      </c>
      <c r="F1922" s="4">
        <v>5.115</v>
      </c>
      <c r="G1922" s="4">
        <v>11600</v>
      </c>
      <c r="H1922" s="4">
        <v>59334</v>
      </c>
      <c r="I1922" s="4">
        <v>59322.13</v>
      </c>
      <c r="J1922" s="4">
        <v>5</v>
      </c>
      <c r="K1922" s="4">
        <v>0</v>
      </c>
    </row>
    <row r="1923" spans="1:11">
      <c r="A1923" s="4" t="str">
        <f t="shared" si="1206"/>
        <v>20210709</v>
      </c>
      <c r="B1923" s="4" t="str">
        <f t="shared" si="1207"/>
        <v>20210709</v>
      </c>
      <c r="C1923" s="4" t="str">
        <f t="shared" si="1203"/>
        <v>港股通组合费</v>
      </c>
      <c r="D1923" s="4" t="str">
        <f t="shared" si="1204"/>
        <v/>
      </c>
      <c r="E1923" s="4" t="str">
        <f t="shared" si="1205"/>
        <v/>
      </c>
      <c r="F1923" s="4">
        <v>0</v>
      </c>
      <c r="G1923" s="4">
        <v>0</v>
      </c>
      <c r="H1923" s="4">
        <v>-0.04</v>
      </c>
      <c r="I1923" s="4">
        <v>-0.04</v>
      </c>
      <c r="J1923" s="4">
        <v>4.96</v>
      </c>
      <c r="K1923" s="4">
        <v>0</v>
      </c>
    </row>
    <row r="1924" spans="1:11">
      <c r="A1924" s="4" t="str">
        <f>"20210712"</f>
        <v>20210712</v>
      </c>
      <c r="B1924" s="4" t="str">
        <f>"20210712"</f>
        <v>20210712</v>
      </c>
      <c r="C1924" s="4" t="str">
        <f t="shared" ref="C1924:C1929" si="1210">"基金赎回拨入"</f>
        <v>基金赎回拨入</v>
      </c>
      <c r="D1924" s="4" t="str">
        <f t="shared" si="1208"/>
        <v>AA0007</v>
      </c>
      <c r="E1924" s="4" t="str">
        <f t="shared" si="1209"/>
        <v>银河水星1号集合</v>
      </c>
      <c r="F1924" s="4">
        <v>0</v>
      </c>
      <c r="G1924" s="4">
        <v>0</v>
      </c>
      <c r="H1924" s="4">
        <v>0</v>
      </c>
      <c r="I1924" s="4">
        <v>0.04</v>
      </c>
      <c r="J1924" s="4">
        <v>5</v>
      </c>
      <c r="K1924" s="4">
        <v>0</v>
      </c>
    </row>
    <row r="1925" spans="1:11">
      <c r="A1925" s="4" t="str">
        <f>"20210712"</f>
        <v>20210712</v>
      </c>
      <c r="B1925" s="4" t="str">
        <f>"20210712"</f>
        <v>20210712</v>
      </c>
      <c r="C1925" s="4" t="str">
        <f t="shared" si="1203"/>
        <v>港股通组合费</v>
      </c>
      <c r="D1925" s="4" t="str">
        <f t="shared" si="1204"/>
        <v/>
      </c>
      <c r="E1925" s="4" t="str">
        <f t="shared" si="1205"/>
        <v/>
      </c>
      <c r="F1925" s="4">
        <v>0</v>
      </c>
      <c r="G1925" s="4">
        <v>0</v>
      </c>
      <c r="H1925" s="4">
        <v>-0.13</v>
      </c>
      <c r="I1925" s="4">
        <v>-0.13</v>
      </c>
      <c r="J1925" s="4">
        <v>4.87</v>
      </c>
      <c r="K1925" s="4">
        <v>0</v>
      </c>
    </row>
    <row r="1926" spans="1:11">
      <c r="A1926" s="4" t="str">
        <f t="shared" ref="A1926:A1928" si="1211">"20210713"</f>
        <v>20210713</v>
      </c>
      <c r="B1926" s="4" t="str">
        <f t="shared" ref="B1926:B1928" si="1212">"20210713"</f>
        <v>20210713</v>
      </c>
      <c r="C1926" s="4" t="str">
        <f t="shared" si="1210"/>
        <v>基金赎回拨入</v>
      </c>
      <c r="D1926" s="4" t="str">
        <f t="shared" si="1208"/>
        <v>AA0007</v>
      </c>
      <c r="E1926" s="4" t="str">
        <f t="shared" si="1209"/>
        <v>银河水星1号集合</v>
      </c>
      <c r="F1926" s="4">
        <v>0</v>
      </c>
      <c r="G1926" s="4">
        <v>13175</v>
      </c>
      <c r="H1926" s="4">
        <v>0</v>
      </c>
      <c r="I1926" s="4">
        <v>13175.13</v>
      </c>
      <c r="J1926" s="4">
        <v>13180</v>
      </c>
      <c r="K1926" s="4">
        <v>0</v>
      </c>
    </row>
    <row r="1927" spans="1:11">
      <c r="A1927" s="4" t="str">
        <f t="shared" si="1211"/>
        <v>20210713</v>
      </c>
      <c r="B1927" s="4" t="str">
        <f t="shared" si="1212"/>
        <v>20210713</v>
      </c>
      <c r="C1927" s="4" t="str">
        <f>"证券买入"</f>
        <v>证券买入</v>
      </c>
      <c r="D1927" s="4" t="str">
        <f>"300355"</f>
        <v>300355</v>
      </c>
      <c r="E1927" s="4" t="str">
        <f>"蒙草生态"</f>
        <v>蒙草生态</v>
      </c>
      <c r="F1927" s="4">
        <v>4.39</v>
      </c>
      <c r="G1927" s="4">
        <v>3000</v>
      </c>
      <c r="H1927" s="4">
        <v>13170</v>
      </c>
      <c r="I1927" s="4">
        <v>-13175</v>
      </c>
      <c r="J1927" s="4">
        <v>5</v>
      </c>
      <c r="K1927" s="4">
        <v>3000</v>
      </c>
    </row>
    <row r="1928" spans="1:11">
      <c r="A1928" s="4" t="str">
        <f t="shared" si="1211"/>
        <v>20210713</v>
      </c>
      <c r="B1928" s="4" t="str">
        <f t="shared" si="1212"/>
        <v>20210713</v>
      </c>
      <c r="C1928" s="4" t="str">
        <f t="shared" ref="C1928:C1934" si="1213">"港股通组合费"</f>
        <v>港股通组合费</v>
      </c>
      <c r="D1928" s="4" t="str">
        <f t="shared" ref="D1928:D1934" si="1214">""</f>
        <v/>
      </c>
      <c r="E1928" s="4" t="str">
        <f t="shared" ref="E1928:E1934" si="1215">""</f>
        <v/>
      </c>
      <c r="F1928" s="4">
        <v>0</v>
      </c>
      <c r="G1928" s="4">
        <v>0</v>
      </c>
      <c r="H1928" s="4">
        <v>-0.04</v>
      </c>
      <c r="I1928" s="4">
        <v>-0.04</v>
      </c>
      <c r="J1928" s="4">
        <v>4.96</v>
      </c>
      <c r="K1928" s="4">
        <v>0</v>
      </c>
    </row>
    <row r="1929" spans="1:11">
      <c r="A1929" s="4" t="str">
        <f t="shared" ref="A1929:A1931" si="1216">"20210714"</f>
        <v>20210714</v>
      </c>
      <c r="B1929" s="4" t="str">
        <f t="shared" ref="B1929:B1931" si="1217">"20210714"</f>
        <v>20210714</v>
      </c>
      <c r="C1929" s="4" t="str">
        <f t="shared" si="1210"/>
        <v>基金赎回拨入</v>
      </c>
      <c r="D1929" s="4" t="str">
        <f>"AA0007"</f>
        <v>AA0007</v>
      </c>
      <c r="E1929" s="4" t="str">
        <f>"银河水星1号集合"</f>
        <v>银河水星1号集合</v>
      </c>
      <c r="F1929" s="4">
        <v>0</v>
      </c>
      <c r="G1929" s="4">
        <v>0</v>
      </c>
      <c r="H1929" s="4">
        <v>0</v>
      </c>
      <c r="I1929" s="4">
        <v>0.04</v>
      </c>
      <c r="J1929" s="4">
        <v>5</v>
      </c>
      <c r="K1929" s="4">
        <v>0</v>
      </c>
    </row>
    <row r="1930" spans="1:11">
      <c r="A1930" s="4" t="str">
        <f t="shared" si="1216"/>
        <v>20210714</v>
      </c>
      <c r="B1930" s="4" t="str">
        <f t="shared" si="1217"/>
        <v>20210714</v>
      </c>
      <c r="C1930" s="4" t="str">
        <f>"红利入账"</f>
        <v>红利入账</v>
      </c>
      <c r="D1930" s="4" t="str">
        <f>"300355"</f>
        <v>300355</v>
      </c>
      <c r="E1930" s="4" t="str">
        <f>"蒙草生态"</f>
        <v>蒙草生态</v>
      </c>
      <c r="F1930" s="4">
        <v>0</v>
      </c>
      <c r="G1930" s="4">
        <v>0</v>
      </c>
      <c r="H1930" s="4">
        <v>66</v>
      </c>
      <c r="I1930" s="4">
        <v>66</v>
      </c>
      <c r="J1930" s="4">
        <v>71</v>
      </c>
      <c r="K1930" s="4">
        <v>0</v>
      </c>
    </row>
    <row r="1931" spans="1:11">
      <c r="A1931" s="4" t="str">
        <f t="shared" si="1216"/>
        <v>20210714</v>
      </c>
      <c r="B1931" s="4" t="str">
        <f t="shared" si="1217"/>
        <v>20210714</v>
      </c>
      <c r="C1931" s="4" t="str">
        <f t="shared" si="1213"/>
        <v>港股通组合费</v>
      </c>
      <c r="D1931" s="4" t="str">
        <f t="shared" si="1214"/>
        <v/>
      </c>
      <c r="E1931" s="4" t="str">
        <f t="shared" si="1215"/>
        <v/>
      </c>
      <c r="F1931" s="4">
        <v>0</v>
      </c>
      <c r="G1931" s="4">
        <v>0</v>
      </c>
      <c r="H1931" s="4">
        <v>-0.05</v>
      </c>
      <c r="I1931" s="4">
        <v>-0.05</v>
      </c>
      <c r="J1931" s="4">
        <v>70.95</v>
      </c>
      <c r="K1931" s="4">
        <v>0</v>
      </c>
    </row>
    <row r="1932" spans="1:11">
      <c r="A1932" s="4" t="str">
        <f>"20210715"</f>
        <v>20210715</v>
      </c>
      <c r="B1932" s="4" t="str">
        <f>"20210715"</f>
        <v>20210715</v>
      </c>
      <c r="C1932" s="4" t="str">
        <f t="shared" si="1213"/>
        <v>港股通组合费</v>
      </c>
      <c r="D1932" s="4" t="str">
        <f t="shared" si="1214"/>
        <v/>
      </c>
      <c r="E1932" s="4" t="str">
        <f t="shared" si="1215"/>
        <v/>
      </c>
      <c r="F1932" s="4">
        <v>0</v>
      </c>
      <c r="G1932" s="4">
        <v>0</v>
      </c>
      <c r="H1932" s="4">
        <v>-0.05</v>
      </c>
      <c r="I1932" s="4">
        <v>-0.05</v>
      </c>
      <c r="J1932" s="4">
        <v>70.9</v>
      </c>
      <c r="K1932" s="4">
        <v>0</v>
      </c>
    </row>
    <row r="1933" spans="1:11">
      <c r="A1933" s="4" t="str">
        <f>"20210716"</f>
        <v>20210716</v>
      </c>
      <c r="B1933" s="4" t="str">
        <f>"20210716"</f>
        <v>20210716</v>
      </c>
      <c r="C1933" s="4" t="str">
        <f t="shared" si="1213"/>
        <v>港股通组合费</v>
      </c>
      <c r="D1933" s="4" t="str">
        <f t="shared" si="1214"/>
        <v/>
      </c>
      <c r="E1933" s="4" t="str">
        <f t="shared" si="1215"/>
        <v/>
      </c>
      <c r="F1933" s="4">
        <v>0</v>
      </c>
      <c r="G1933" s="4">
        <v>0</v>
      </c>
      <c r="H1933" s="4">
        <v>-0.05</v>
      </c>
      <c r="I1933" s="4">
        <v>-0.05</v>
      </c>
      <c r="J1933" s="4">
        <v>70.85</v>
      </c>
      <c r="K1933" s="4">
        <v>0</v>
      </c>
    </row>
    <row r="1934" spans="1:11">
      <c r="A1934" s="4" t="str">
        <f>"20210719"</f>
        <v>20210719</v>
      </c>
      <c r="B1934" s="4" t="str">
        <f>"20210719"</f>
        <v>20210719</v>
      </c>
      <c r="C1934" s="4" t="str">
        <f t="shared" si="1213"/>
        <v>港股通组合费</v>
      </c>
      <c r="D1934" s="4" t="str">
        <f t="shared" si="1214"/>
        <v/>
      </c>
      <c r="E1934" s="4" t="str">
        <f t="shared" si="1215"/>
        <v/>
      </c>
      <c r="F1934" s="4">
        <v>0</v>
      </c>
      <c r="G1934" s="4">
        <v>0</v>
      </c>
      <c r="H1934" s="4">
        <v>-0.15</v>
      </c>
      <c r="I1934" s="4">
        <v>-0.15</v>
      </c>
      <c r="J1934" s="4">
        <v>70.7</v>
      </c>
      <c r="K1934" s="4">
        <v>0</v>
      </c>
    </row>
    <row r="1935" spans="1:11">
      <c r="A1935" s="4" t="str">
        <f>"20210720"</f>
        <v>20210720</v>
      </c>
      <c r="B1935" s="4" t="str">
        <f>"20210720"</f>
        <v>20210720</v>
      </c>
      <c r="C1935" s="4" t="str">
        <f t="shared" ref="C1935:C1939" si="1218">"基金赎回拨入"</f>
        <v>基金赎回拨入</v>
      </c>
      <c r="D1935" s="4" t="str">
        <f t="shared" ref="D1935:D1939" si="1219">"AA0007"</f>
        <v>AA0007</v>
      </c>
      <c r="E1935" s="4" t="str">
        <f t="shared" ref="E1935:E1939" si="1220">"银河水星1号集合"</f>
        <v>银河水星1号集合</v>
      </c>
      <c r="F1935" s="4">
        <v>0</v>
      </c>
      <c r="G1935" s="4">
        <v>11999</v>
      </c>
      <c r="H1935" s="4">
        <v>0</v>
      </c>
      <c r="I1935" s="4">
        <v>11999.54</v>
      </c>
      <c r="J1935" s="4">
        <v>12070.24</v>
      </c>
      <c r="K1935" s="4">
        <v>0</v>
      </c>
    </row>
    <row r="1936" spans="1:11">
      <c r="A1936" s="4" t="str">
        <f>"20210720"</f>
        <v>20210720</v>
      </c>
      <c r="B1936" s="4" t="str">
        <f>"20210720"</f>
        <v>20210720</v>
      </c>
      <c r="C1936" s="4" t="str">
        <f t="shared" ref="C1936:C1940" si="1221">"港股通组合费"</f>
        <v>港股通组合费</v>
      </c>
      <c r="D1936" s="4" t="str">
        <f t="shared" ref="D1936:D1940" si="1222">""</f>
        <v/>
      </c>
      <c r="E1936" s="4" t="str">
        <f t="shared" ref="E1936:E1940" si="1223">""</f>
        <v/>
      </c>
      <c r="F1936" s="4">
        <v>0</v>
      </c>
      <c r="G1936" s="4">
        <v>0</v>
      </c>
      <c r="H1936" s="4">
        <v>-0.04</v>
      </c>
      <c r="I1936" s="4">
        <v>-0.04</v>
      </c>
      <c r="J1936" s="4">
        <v>12070.2</v>
      </c>
      <c r="K1936" s="4">
        <v>0</v>
      </c>
    </row>
    <row r="1937" spans="1:11">
      <c r="A1937" s="4" t="str">
        <f>"20210721"</f>
        <v>20210721</v>
      </c>
      <c r="B1937" s="4" t="str">
        <f>"20210721"</f>
        <v>20210721</v>
      </c>
      <c r="C1937" s="4" t="str">
        <f t="shared" si="1218"/>
        <v>基金赎回拨入</v>
      </c>
      <c r="D1937" s="4" t="str">
        <f t="shared" si="1219"/>
        <v>AA0007</v>
      </c>
      <c r="E1937" s="4" t="str">
        <f t="shared" si="1220"/>
        <v>银河水星1号集合</v>
      </c>
      <c r="F1937" s="4">
        <v>0</v>
      </c>
      <c r="G1937" s="4">
        <v>0</v>
      </c>
      <c r="H1937" s="4">
        <v>0</v>
      </c>
      <c r="I1937" s="4">
        <v>0.04</v>
      </c>
      <c r="J1937" s="4">
        <v>12070.24</v>
      </c>
      <c r="K1937" s="4">
        <v>0</v>
      </c>
    </row>
    <row r="1938" spans="1:11">
      <c r="A1938" s="4" t="str">
        <f>"20210721"</f>
        <v>20210721</v>
      </c>
      <c r="B1938" s="4" t="str">
        <f>"20210721"</f>
        <v>20210721</v>
      </c>
      <c r="C1938" s="4" t="str">
        <f t="shared" si="1221"/>
        <v>港股通组合费</v>
      </c>
      <c r="D1938" s="4" t="str">
        <f t="shared" si="1222"/>
        <v/>
      </c>
      <c r="E1938" s="4" t="str">
        <f t="shared" si="1223"/>
        <v/>
      </c>
      <c r="F1938" s="4">
        <v>0</v>
      </c>
      <c r="G1938" s="4">
        <v>0</v>
      </c>
      <c r="H1938" s="4">
        <v>-0.04</v>
      </c>
      <c r="I1938" s="4">
        <v>-0.04</v>
      </c>
      <c r="J1938" s="4">
        <v>12070.2</v>
      </c>
      <c r="K1938" s="4">
        <v>0</v>
      </c>
    </row>
    <row r="1939" spans="1:11">
      <c r="A1939" s="4" t="str">
        <f>"20210722"</f>
        <v>20210722</v>
      </c>
      <c r="B1939" s="4" t="str">
        <f>"20210722"</f>
        <v>20210722</v>
      </c>
      <c r="C1939" s="4" t="str">
        <f t="shared" si="1218"/>
        <v>基金赎回拨入</v>
      </c>
      <c r="D1939" s="4" t="str">
        <f t="shared" si="1219"/>
        <v>AA0007</v>
      </c>
      <c r="E1939" s="4" t="str">
        <f t="shared" si="1220"/>
        <v>银河水星1号集合</v>
      </c>
      <c r="F1939" s="4">
        <v>0</v>
      </c>
      <c r="G1939" s="4">
        <v>0</v>
      </c>
      <c r="H1939" s="4">
        <v>0</v>
      </c>
      <c r="I1939" s="4">
        <v>0.04</v>
      </c>
      <c r="J1939" s="4">
        <v>12070.24</v>
      </c>
      <c r="K1939" s="4">
        <v>0</v>
      </c>
    </row>
    <row r="1940" spans="1:11">
      <c r="A1940" s="4" t="str">
        <f>"20210722"</f>
        <v>20210722</v>
      </c>
      <c r="B1940" s="4" t="str">
        <f>"20210722"</f>
        <v>20210722</v>
      </c>
      <c r="C1940" s="4" t="str">
        <f t="shared" si="1221"/>
        <v>港股通组合费</v>
      </c>
      <c r="D1940" s="4" t="str">
        <f t="shared" si="1222"/>
        <v/>
      </c>
      <c r="E1940" s="4" t="str">
        <f t="shared" si="1223"/>
        <v/>
      </c>
      <c r="F1940" s="4">
        <v>0</v>
      </c>
      <c r="G1940" s="4">
        <v>0</v>
      </c>
      <c r="H1940" s="4">
        <v>-0.04</v>
      </c>
      <c r="I1940" s="4">
        <v>-0.04</v>
      </c>
      <c r="J1940" s="4">
        <v>12070.2</v>
      </c>
      <c r="K1940" s="4">
        <v>0</v>
      </c>
    </row>
    <row r="1941" spans="1:11">
      <c r="A1941" s="4" t="str">
        <f>"20210723"</f>
        <v>20210723</v>
      </c>
      <c r="B1941" s="4" t="str">
        <f>"20210723"</f>
        <v>20210723</v>
      </c>
      <c r="C1941" s="4" t="str">
        <f>"基金赎回拨入"</f>
        <v>基金赎回拨入</v>
      </c>
      <c r="D1941" s="4" t="str">
        <f>"AA0007"</f>
        <v>AA0007</v>
      </c>
      <c r="E1941" s="4" t="str">
        <f>"银河水星1号集合"</f>
        <v>银河水星1号集合</v>
      </c>
      <c r="F1941" s="4">
        <v>0</v>
      </c>
      <c r="G1941" s="4">
        <v>18105</v>
      </c>
      <c r="H1941" s="4">
        <v>0</v>
      </c>
      <c r="I1941" s="4">
        <v>18105.04</v>
      </c>
      <c r="J1941" s="4">
        <v>30175.24</v>
      </c>
      <c r="K1941" s="4">
        <v>0</v>
      </c>
    </row>
    <row r="1942" spans="1:11">
      <c r="A1942" s="4" t="str">
        <f>"20210723"</f>
        <v>20210723</v>
      </c>
      <c r="B1942" s="4" t="str">
        <f>"20210723"</f>
        <v>20210723</v>
      </c>
      <c r="C1942" s="4" t="str">
        <f>"港股通组合费"</f>
        <v>港股通组合费</v>
      </c>
      <c r="D1942" s="4" t="str">
        <f>""</f>
        <v/>
      </c>
      <c r="E1942" s="4" t="str">
        <f>""</f>
        <v/>
      </c>
      <c r="F1942" s="4">
        <v>0</v>
      </c>
      <c r="G1942" s="4">
        <v>0</v>
      </c>
      <c r="H1942" s="4">
        <v>-0.04</v>
      </c>
      <c r="I1942" s="4">
        <v>-0.04</v>
      </c>
      <c r="J1942" s="4">
        <v>30175.2</v>
      </c>
      <c r="K1942" s="4">
        <v>0</v>
      </c>
    </row>
    <row r="1943" spans="1:11">
      <c r="A1943" s="4" t="str">
        <f t="shared" ref="A1943:A1945" si="1224">"20210726"</f>
        <v>20210726</v>
      </c>
      <c r="B1943" s="4" t="str">
        <f t="shared" ref="B1943:B1945" si="1225">"20210726"</f>
        <v>20210726</v>
      </c>
      <c r="C1943" s="4" t="str">
        <f>"基金申购拨出"</f>
        <v>基金申购拨出</v>
      </c>
      <c r="D1943" s="4" t="str">
        <f>"AA0007"</f>
        <v>AA0007</v>
      </c>
      <c r="E1943" s="4" t="str">
        <f>"银河水星1号集合"</f>
        <v>银河水星1号集合</v>
      </c>
      <c r="F1943" s="4">
        <v>0</v>
      </c>
      <c r="G1943" s="4">
        <v>0</v>
      </c>
      <c r="H1943" s="4">
        <v>0</v>
      </c>
      <c r="I1943" s="4">
        <v>-6159.72</v>
      </c>
      <c r="J1943" s="4">
        <v>24015.48</v>
      </c>
      <c r="K1943" s="4">
        <v>0</v>
      </c>
    </row>
    <row r="1944" spans="1:11">
      <c r="A1944" s="4" t="str">
        <f t="shared" si="1224"/>
        <v>20210726</v>
      </c>
      <c r="B1944" s="4" t="str">
        <f t="shared" si="1225"/>
        <v>20210726</v>
      </c>
      <c r="C1944" s="4" t="str">
        <f>"证券买入"</f>
        <v>证券买入</v>
      </c>
      <c r="D1944" s="4" t="str">
        <f t="shared" ref="D1944:D1947" si="1226">"600028"</f>
        <v>600028</v>
      </c>
      <c r="E1944" s="4" t="str">
        <f t="shared" ref="E1944:E1947" si="1227">"中国石化"</f>
        <v>中国石化</v>
      </c>
      <c r="F1944" s="4">
        <v>4.02</v>
      </c>
      <c r="G1944" s="4">
        <v>3000</v>
      </c>
      <c r="H1944" s="4">
        <v>12060</v>
      </c>
      <c r="I1944" s="4">
        <v>-12065.24</v>
      </c>
      <c r="J1944" s="4">
        <v>11950.24</v>
      </c>
      <c r="K1944" s="4">
        <v>3000</v>
      </c>
    </row>
    <row r="1945" spans="1:11">
      <c r="A1945" s="4" t="str">
        <f t="shared" si="1224"/>
        <v>20210726</v>
      </c>
      <c r="B1945" s="4" t="str">
        <f t="shared" si="1225"/>
        <v>20210726</v>
      </c>
      <c r="C1945" s="4" t="str">
        <f>"港股通组合费"</f>
        <v>港股通组合费</v>
      </c>
      <c r="D1945" s="4" t="str">
        <f>""</f>
        <v/>
      </c>
      <c r="E1945" s="4" t="str">
        <f>""</f>
        <v/>
      </c>
      <c r="F1945" s="4">
        <v>0</v>
      </c>
      <c r="G1945" s="4">
        <v>0</v>
      </c>
      <c r="H1945" s="4">
        <v>-0.13</v>
      </c>
      <c r="I1945" s="4">
        <v>-0.13</v>
      </c>
      <c r="J1945" s="4">
        <v>11950.11</v>
      </c>
      <c r="K1945" s="4">
        <v>0</v>
      </c>
    </row>
    <row r="1946" spans="1:11">
      <c r="A1946" s="4" t="str">
        <f t="shared" ref="A1946:A1948" si="1228">"20210727"</f>
        <v>20210727</v>
      </c>
      <c r="B1946" s="4" t="str">
        <f t="shared" ref="B1946:B1948" si="1229">"20210727"</f>
        <v>20210727</v>
      </c>
      <c r="C1946" s="4" t="str">
        <f>"证券卖出"</f>
        <v>证券卖出</v>
      </c>
      <c r="D1946" s="4" t="str">
        <f t="shared" si="1226"/>
        <v>600028</v>
      </c>
      <c r="E1946" s="4" t="str">
        <f t="shared" si="1227"/>
        <v>中国石化</v>
      </c>
      <c r="F1946" s="4">
        <v>4.06</v>
      </c>
      <c r="G1946" s="4">
        <v>3000</v>
      </c>
      <c r="H1946" s="4">
        <v>12180</v>
      </c>
      <c r="I1946" s="4">
        <v>12162.58</v>
      </c>
      <c r="J1946" s="4">
        <v>24112.69</v>
      </c>
      <c r="K1946" s="4">
        <v>0</v>
      </c>
    </row>
    <row r="1947" spans="1:11">
      <c r="A1947" s="4" t="str">
        <f t="shared" si="1228"/>
        <v>20210727</v>
      </c>
      <c r="B1947" s="4" t="str">
        <f t="shared" si="1229"/>
        <v>20210727</v>
      </c>
      <c r="C1947" s="4" t="str">
        <f>"证券买入"</f>
        <v>证券买入</v>
      </c>
      <c r="D1947" s="4" t="str">
        <f t="shared" si="1226"/>
        <v>600028</v>
      </c>
      <c r="E1947" s="4" t="str">
        <f t="shared" si="1227"/>
        <v>中国石化</v>
      </c>
      <c r="F1947" s="4">
        <v>4.02</v>
      </c>
      <c r="G1947" s="4">
        <v>3000</v>
      </c>
      <c r="H1947" s="4">
        <v>12060</v>
      </c>
      <c r="I1947" s="4">
        <v>-12065.24</v>
      </c>
      <c r="J1947" s="4">
        <v>12047.45</v>
      </c>
      <c r="K1947" s="4">
        <v>3000</v>
      </c>
    </row>
    <row r="1948" spans="1:11">
      <c r="A1948" s="4" t="str">
        <f t="shared" si="1228"/>
        <v>20210727</v>
      </c>
      <c r="B1948" s="4" t="str">
        <f t="shared" si="1229"/>
        <v>20210727</v>
      </c>
      <c r="C1948" s="4" t="str">
        <f t="shared" ref="C1948:C1953" si="1230">"港股通组合费"</f>
        <v>港股通组合费</v>
      </c>
      <c r="D1948" s="4" t="str">
        <f t="shared" ref="D1948:D1953" si="1231">""</f>
        <v/>
      </c>
      <c r="E1948" s="4" t="str">
        <f t="shared" ref="E1948:E1953" si="1232">""</f>
        <v/>
      </c>
      <c r="F1948" s="4">
        <v>0</v>
      </c>
      <c r="G1948" s="4">
        <v>0</v>
      </c>
      <c r="H1948" s="4">
        <v>-0.04</v>
      </c>
      <c r="I1948" s="4">
        <v>-0.04</v>
      </c>
      <c r="J1948" s="4">
        <v>12047.41</v>
      </c>
      <c r="K1948" s="4">
        <v>0</v>
      </c>
    </row>
    <row r="1949" spans="1:11">
      <c r="A1949" s="4" t="str">
        <f t="shared" ref="A1949:A1951" si="1233">"20210728"</f>
        <v>20210728</v>
      </c>
      <c r="B1949" s="4" t="str">
        <f t="shared" ref="B1949:B1951" si="1234">"20210728"</f>
        <v>20210728</v>
      </c>
      <c r="C1949" s="4" t="str">
        <f>"基金赎回拨入"</f>
        <v>基金赎回拨入</v>
      </c>
      <c r="D1949" s="4" t="str">
        <f>"AA0007"</f>
        <v>AA0007</v>
      </c>
      <c r="E1949" s="4" t="str">
        <f>"银河水星1号集合"</f>
        <v>银河水星1号集合</v>
      </c>
      <c r="F1949" s="4">
        <v>0</v>
      </c>
      <c r="G1949" s="4">
        <v>11728</v>
      </c>
      <c r="H1949" s="4">
        <v>0</v>
      </c>
      <c r="I1949" s="4">
        <v>11728.07</v>
      </c>
      <c r="J1949" s="4">
        <v>23775.48</v>
      </c>
      <c r="K1949" s="4">
        <v>0</v>
      </c>
    </row>
    <row r="1950" spans="1:11">
      <c r="A1950" s="4" t="str">
        <f t="shared" si="1233"/>
        <v>20210728</v>
      </c>
      <c r="B1950" s="4" t="str">
        <f t="shared" si="1234"/>
        <v>20210728</v>
      </c>
      <c r="C1950" s="4" t="str">
        <f>"证券买入"</f>
        <v>证券买入</v>
      </c>
      <c r="D1950" s="4" t="str">
        <f>"600028"</f>
        <v>600028</v>
      </c>
      <c r="E1950" s="4" t="str">
        <f>"中国石化"</f>
        <v>中国石化</v>
      </c>
      <c r="F1950" s="4">
        <v>3.98</v>
      </c>
      <c r="G1950" s="4">
        <v>3000</v>
      </c>
      <c r="H1950" s="4">
        <v>11940</v>
      </c>
      <c r="I1950" s="4">
        <v>-11945.24</v>
      </c>
      <c r="J1950" s="4">
        <v>11830.24</v>
      </c>
      <c r="K1950" s="4">
        <v>6000</v>
      </c>
    </row>
    <row r="1951" spans="1:11">
      <c r="A1951" s="4" t="str">
        <f t="shared" si="1233"/>
        <v>20210728</v>
      </c>
      <c r="B1951" s="4" t="str">
        <f t="shared" si="1234"/>
        <v>20210728</v>
      </c>
      <c r="C1951" s="4" t="str">
        <f t="shared" si="1230"/>
        <v>港股通组合费</v>
      </c>
      <c r="D1951" s="4" t="str">
        <f t="shared" si="1231"/>
        <v/>
      </c>
      <c r="E1951" s="4" t="str">
        <f t="shared" si="1232"/>
        <v/>
      </c>
      <c r="F1951" s="4">
        <v>0</v>
      </c>
      <c r="G1951" s="4">
        <v>0</v>
      </c>
      <c r="H1951" s="4">
        <v>-0.04</v>
      </c>
      <c r="I1951" s="4">
        <v>-0.04</v>
      </c>
      <c r="J1951" s="4">
        <v>11830.2</v>
      </c>
      <c r="K1951" s="4">
        <v>0</v>
      </c>
    </row>
    <row r="1952" spans="1:11">
      <c r="A1952" s="4" t="str">
        <f>"20210729"</f>
        <v>20210729</v>
      </c>
      <c r="B1952" s="4" t="str">
        <f>"20210729"</f>
        <v>20210729</v>
      </c>
      <c r="C1952" s="4" t="str">
        <f>"基金赎回拨入"</f>
        <v>基金赎回拨入</v>
      </c>
      <c r="D1952" s="4" t="str">
        <f>"AA0007"</f>
        <v>AA0007</v>
      </c>
      <c r="E1952" s="4" t="str">
        <f>"银河水星1号集合"</f>
        <v>银河水星1号集合</v>
      </c>
      <c r="F1952" s="4">
        <v>0</v>
      </c>
      <c r="G1952" s="4">
        <v>0</v>
      </c>
      <c r="H1952" s="4">
        <v>0</v>
      </c>
      <c r="I1952" s="4">
        <v>0.04</v>
      </c>
      <c r="J1952" s="4">
        <v>11830.24</v>
      </c>
      <c r="K1952" s="4">
        <v>0</v>
      </c>
    </row>
    <row r="1953" spans="1:11">
      <c r="A1953" s="4" t="str">
        <f>"20210729"</f>
        <v>20210729</v>
      </c>
      <c r="B1953" s="4" t="str">
        <f>"20210729"</f>
        <v>20210729</v>
      </c>
      <c r="C1953" s="4" t="str">
        <f t="shared" si="1230"/>
        <v>港股通组合费</v>
      </c>
      <c r="D1953" s="4" t="str">
        <f t="shared" si="1231"/>
        <v/>
      </c>
      <c r="E1953" s="4" t="str">
        <f t="shared" si="1232"/>
        <v/>
      </c>
      <c r="F1953" s="4">
        <v>0</v>
      </c>
      <c r="G1953" s="4">
        <v>0</v>
      </c>
      <c r="H1953" s="4">
        <v>-0.04</v>
      </c>
      <c r="I1953" s="4">
        <v>-0.04</v>
      </c>
      <c r="J1953" s="4">
        <v>11830.2</v>
      </c>
      <c r="K1953" s="4">
        <v>0</v>
      </c>
    </row>
    <row r="1954" spans="1:11">
      <c r="A1954" s="4" t="str">
        <f t="shared" ref="A1954:A1957" si="1235">"20210730"</f>
        <v>20210730</v>
      </c>
      <c r="B1954" s="4" t="str">
        <f t="shared" ref="B1954:B1957" si="1236">"20210730"</f>
        <v>20210730</v>
      </c>
      <c r="C1954" s="4" t="str">
        <f>"银行转证券"</f>
        <v>银行转证券</v>
      </c>
      <c r="D1954" s="4"/>
      <c r="E1954" s="4"/>
      <c r="F1954" s="4">
        <v>0</v>
      </c>
      <c r="G1954" s="4">
        <v>0</v>
      </c>
      <c r="H1954" s="4">
        <v>0</v>
      </c>
      <c r="I1954" s="4">
        <v>12000</v>
      </c>
      <c r="J1954" s="4">
        <v>23830.2</v>
      </c>
      <c r="K1954" s="4">
        <v>0</v>
      </c>
    </row>
    <row r="1955" spans="1:11">
      <c r="A1955" s="4" t="str">
        <f t="shared" si="1235"/>
        <v>20210730</v>
      </c>
      <c r="B1955" s="4" t="str">
        <f t="shared" si="1236"/>
        <v>20210730</v>
      </c>
      <c r="C1955" s="4" t="str">
        <f>"基金赎回拨入"</f>
        <v>基金赎回拨入</v>
      </c>
      <c r="D1955" s="4" t="str">
        <f t="shared" ref="D1955:D1960" si="1237">"AA0007"</f>
        <v>AA0007</v>
      </c>
      <c r="E1955" s="4" t="str">
        <f t="shared" ref="E1955:E1960" si="1238">"银河水星1号集合"</f>
        <v>银河水星1号集合</v>
      </c>
      <c r="F1955" s="4">
        <v>0</v>
      </c>
      <c r="G1955" s="4">
        <v>7905</v>
      </c>
      <c r="H1955" s="4">
        <v>0</v>
      </c>
      <c r="I1955" s="4">
        <v>7905.44</v>
      </c>
      <c r="J1955" s="4">
        <v>31735.64</v>
      </c>
      <c r="K1955" s="4">
        <v>0</v>
      </c>
    </row>
    <row r="1956" spans="1:11">
      <c r="A1956" s="4" t="str">
        <f t="shared" si="1235"/>
        <v>20210730</v>
      </c>
      <c r="B1956" s="4" t="str">
        <f t="shared" si="1236"/>
        <v>20210730</v>
      </c>
      <c r="C1956" s="4" t="str">
        <f>"证券买入"</f>
        <v>证券买入</v>
      </c>
      <c r="D1956" s="4" t="str">
        <f>"600028"</f>
        <v>600028</v>
      </c>
      <c r="E1956" s="4" t="str">
        <f>"中国石化"</f>
        <v>中国石化</v>
      </c>
      <c r="F1956" s="4">
        <v>3.98</v>
      </c>
      <c r="G1956" s="4">
        <v>5000</v>
      </c>
      <c r="H1956" s="4">
        <v>19900</v>
      </c>
      <c r="I1956" s="4">
        <v>-19905.4</v>
      </c>
      <c r="J1956" s="4">
        <v>11830.24</v>
      </c>
      <c r="K1956" s="4">
        <v>11000</v>
      </c>
    </row>
    <row r="1957" spans="1:11">
      <c r="A1957" s="4" t="str">
        <f t="shared" si="1235"/>
        <v>20210730</v>
      </c>
      <c r="B1957" s="4" t="str">
        <f t="shared" si="1236"/>
        <v>20210730</v>
      </c>
      <c r="C1957" s="4" t="str">
        <f t="shared" ref="C1957:C1961" si="1239">"港股通组合费"</f>
        <v>港股通组合费</v>
      </c>
      <c r="D1957" s="4" t="str">
        <f t="shared" ref="D1957:D1961" si="1240">""</f>
        <v/>
      </c>
      <c r="E1957" s="4" t="str">
        <f t="shared" ref="E1957:E1961" si="1241">""</f>
        <v/>
      </c>
      <c r="F1957" s="4">
        <v>0</v>
      </c>
      <c r="G1957" s="4">
        <v>0</v>
      </c>
      <c r="H1957" s="4">
        <v>-0.04</v>
      </c>
      <c r="I1957" s="4">
        <v>-0.04</v>
      </c>
      <c r="J1957" s="4">
        <v>11830.2</v>
      </c>
      <c r="K1957" s="4">
        <v>0</v>
      </c>
    </row>
    <row r="1958" spans="1:11">
      <c r="A1958" s="4" t="str">
        <f>"20210802"</f>
        <v>20210802</v>
      </c>
      <c r="B1958" s="4" t="str">
        <f>"20210802"</f>
        <v>20210802</v>
      </c>
      <c r="C1958" s="4" t="str">
        <f>"基金申购拨出"</f>
        <v>基金申购拨出</v>
      </c>
      <c r="D1958" s="4" t="str">
        <f t="shared" si="1237"/>
        <v>AA0007</v>
      </c>
      <c r="E1958" s="4" t="str">
        <f t="shared" si="1238"/>
        <v>银河水星1号集合</v>
      </c>
      <c r="F1958" s="4">
        <v>0</v>
      </c>
      <c r="G1958" s="4">
        <v>0</v>
      </c>
      <c r="H1958" s="4">
        <v>0</v>
      </c>
      <c r="I1958" s="4">
        <v>-11825.2</v>
      </c>
      <c r="J1958" s="4">
        <v>5</v>
      </c>
      <c r="K1958" s="4">
        <v>0</v>
      </c>
    </row>
    <row r="1959" spans="1:11">
      <c r="A1959" s="4" t="str">
        <f>"20210802"</f>
        <v>20210802</v>
      </c>
      <c r="B1959" s="4" t="str">
        <f>"20210802"</f>
        <v>20210802</v>
      </c>
      <c r="C1959" s="4" t="str">
        <f t="shared" si="1239"/>
        <v>港股通组合费</v>
      </c>
      <c r="D1959" s="4" t="str">
        <f t="shared" si="1240"/>
        <v/>
      </c>
      <c r="E1959" s="4" t="str">
        <f t="shared" si="1241"/>
        <v/>
      </c>
      <c r="F1959" s="4">
        <v>0</v>
      </c>
      <c r="G1959" s="4">
        <v>0</v>
      </c>
      <c r="H1959" s="4">
        <v>-0.12</v>
      </c>
      <c r="I1959" s="4">
        <v>-0.12</v>
      </c>
      <c r="J1959" s="4">
        <v>4.88</v>
      </c>
      <c r="K1959" s="4">
        <v>0</v>
      </c>
    </row>
    <row r="1960" spans="1:11">
      <c r="A1960" s="4" t="str">
        <f>"20210803"</f>
        <v>20210803</v>
      </c>
      <c r="B1960" s="4" t="str">
        <f>"20210803"</f>
        <v>20210803</v>
      </c>
      <c r="C1960" s="4" t="str">
        <f>"基金赎回拨入"</f>
        <v>基金赎回拨入</v>
      </c>
      <c r="D1960" s="4" t="str">
        <f t="shared" si="1237"/>
        <v>AA0007</v>
      </c>
      <c r="E1960" s="4" t="str">
        <f t="shared" si="1238"/>
        <v>银河水星1号集合</v>
      </c>
      <c r="F1960" s="4">
        <v>0</v>
      </c>
      <c r="G1960" s="4">
        <v>0</v>
      </c>
      <c r="H1960" s="4">
        <v>0</v>
      </c>
      <c r="I1960" s="4">
        <v>0.12</v>
      </c>
      <c r="J1960" s="4">
        <v>5</v>
      </c>
      <c r="K1960" s="4">
        <v>0</v>
      </c>
    </row>
    <row r="1961" spans="1:11">
      <c r="A1961" s="4" t="str">
        <f>"20210803"</f>
        <v>20210803</v>
      </c>
      <c r="B1961" s="4" t="str">
        <f>"20210803"</f>
        <v>20210803</v>
      </c>
      <c r="C1961" s="4" t="str">
        <f t="shared" si="1239"/>
        <v>港股通组合费</v>
      </c>
      <c r="D1961" s="4" t="str">
        <f t="shared" si="1240"/>
        <v/>
      </c>
      <c r="E1961" s="4" t="str">
        <f t="shared" si="1241"/>
        <v/>
      </c>
      <c r="F1961" s="4">
        <v>0</v>
      </c>
      <c r="G1961" s="4">
        <v>0</v>
      </c>
      <c r="H1961" s="4">
        <v>-0.04</v>
      </c>
      <c r="I1961" s="4">
        <v>-0.04</v>
      </c>
      <c r="J1961" s="4">
        <v>4.96</v>
      </c>
      <c r="K1961" s="4">
        <v>0</v>
      </c>
    </row>
    <row r="1962" spans="1:11">
      <c r="A1962" s="4" t="str">
        <f>"20210804"</f>
        <v>20210804</v>
      </c>
      <c r="B1962" s="4" t="str">
        <f>"20210804"</f>
        <v>20210804</v>
      </c>
      <c r="C1962" s="4" t="str">
        <f>"基金赎回拨入"</f>
        <v>基金赎回拨入</v>
      </c>
      <c r="D1962" s="4" t="str">
        <f>"AA0007"</f>
        <v>AA0007</v>
      </c>
      <c r="E1962" s="4" t="str">
        <f>"银河水星1号集合"</f>
        <v>银河水星1号集合</v>
      </c>
      <c r="F1962" s="4">
        <v>0</v>
      </c>
      <c r="G1962" s="4">
        <v>0</v>
      </c>
      <c r="H1962" s="4">
        <v>0</v>
      </c>
      <c r="I1962" s="4">
        <v>0.04</v>
      </c>
      <c r="J1962" s="4">
        <v>5</v>
      </c>
      <c r="K1962" s="4">
        <v>0</v>
      </c>
    </row>
    <row r="1963" spans="1:11">
      <c r="A1963" s="4" t="str">
        <f>"20210804"</f>
        <v>20210804</v>
      </c>
      <c r="B1963" s="4" t="str">
        <f>"20210804"</f>
        <v>20210804</v>
      </c>
      <c r="C1963" s="4" t="str">
        <f>"港股通组合费"</f>
        <v>港股通组合费</v>
      </c>
      <c r="D1963" s="4" t="str">
        <f>""</f>
        <v/>
      </c>
      <c r="E1963" s="4" t="str">
        <f>""</f>
        <v/>
      </c>
      <c r="F1963" s="4">
        <v>0</v>
      </c>
      <c r="G1963" s="4">
        <v>0</v>
      </c>
      <c r="H1963" s="4">
        <v>-0.04</v>
      </c>
      <c r="I1963" s="4">
        <v>-0.04</v>
      </c>
      <c r="J1963" s="4">
        <v>4.96</v>
      </c>
      <c r="K1963" s="4">
        <v>0</v>
      </c>
    </row>
    <row r="1964" spans="1:11">
      <c r="A1964" s="4" t="str">
        <f t="shared" ref="A1964:A1966" si="1242">"20210805"</f>
        <v>20210805</v>
      </c>
      <c r="B1964" s="4" t="str">
        <f t="shared" ref="B1964:B1966" si="1243">"20210805"</f>
        <v>20210805</v>
      </c>
      <c r="C1964" s="4" t="str">
        <f>"证券卖出"</f>
        <v>证券卖出</v>
      </c>
      <c r="D1964" s="4" t="str">
        <f>"600028"</f>
        <v>600028</v>
      </c>
      <c r="E1964" s="4" t="str">
        <f>"中国石化"</f>
        <v>中国石化</v>
      </c>
      <c r="F1964" s="4">
        <v>4.02</v>
      </c>
      <c r="G1964" s="4">
        <v>3000</v>
      </c>
      <c r="H1964" s="4">
        <v>12060</v>
      </c>
      <c r="I1964" s="4">
        <v>12042.7</v>
      </c>
      <c r="J1964" s="4">
        <v>12047.66</v>
      </c>
      <c r="K1964" s="4">
        <v>8000</v>
      </c>
    </row>
    <row r="1965" spans="1:11">
      <c r="A1965" s="4" t="str">
        <f t="shared" si="1242"/>
        <v>20210805</v>
      </c>
      <c r="B1965" s="4" t="str">
        <f t="shared" si="1243"/>
        <v>20210805</v>
      </c>
      <c r="C1965" s="4" t="str">
        <f>"证券买入"</f>
        <v>证券买入</v>
      </c>
      <c r="D1965" s="4" t="str">
        <f>"600028"</f>
        <v>600028</v>
      </c>
      <c r="E1965" s="4" t="str">
        <f>"中国石化"</f>
        <v>中国石化</v>
      </c>
      <c r="F1965" s="4">
        <v>3.98</v>
      </c>
      <c r="G1965" s="4">
        <v>3000</v>
      </c>
      <c r="H1965" s="4">
        <v>11940</v>
      </c>
      <c r="I1965" s="4">
        <v>-11945.24</v>
      </c>
      <c r="J1965" s="4">
        <v>102.42</v>
      </c>
      <c r="K1965" s="4">
        <v>11000</v>
      </c>
    </row>
    <row r="1966" spans="1:11">
      <c r="A1966" s="4" t="str">
        <f t="shared" si="1242"/>
        <v>20210805</v>
      </c>
      <c r="B1966" s="4" t="str">
        <f t="shared" si="1243"/>
        <v>20210805</v>
      </c>
      <c r="C1966" s="4" t="str">
        <f t="shared" ref="C1966:C1971" si="1244">"港股通组合费"</f>
        <v>港股通组合费</v>
      </c>
      <c r="D1966" s="4" t="str">
        <f t="shared" ref="D1966:D1971" si="1245">""</f>
        <v/>
      </c>
      <c r="E1966" s="4" t="str">
        <f t="shared" ref="E1966:E1971" si="1246">""</f>
        <v/>
      </c>
      <c r="F1966" s="4">
        <v>0</v>
      </c>
      <c r="G1966" s="4">
        <v>0</v>
      </c>
      <c r="H1966" s="4">
        <v>-0.04</v>
      </c>
      <c r="I1966" s="4">
        <v>-0.04</v>
      </c>
      <c r="J1966" s="4">
        <v>102.38</v>
      </c>
      <c r="K1966" s="4">
        <v>0</v>
      </c>
    </row>
    <row r="1967" spans="1:11">
      <c r="A1967" s="4" t="str">
        <f t="shared" ref="A1967:A1969" si="1247">"20210806"</f>
        <v>20210806</v>
      </c>
      <c r="B1967" s="4" t="str">
        <f t="shared" ref="B1967:B1969" si="1248">"20210806"</f>
        <v>20210806</v>
      </c>
      <c r="C1967" s="4" t="str">
        <f>"基金申购拨出"</f>
        <v>基金申购拨出</v>
      </c>
      <c r="D1967" s="4" t="str">
        <f>"AA0007"</f>
        <v>AA0007</v>
      </c>
      <c r="E1967" s="4" t="str">
        <f>"银河水星1号集合"</f>
        <v>银河水星1号集合</v>
      </c>
      <c r="F1967" s="4">
        <v>0</v>
      </c>
      <c r="G1967" s="4">
        <v>0</v>
      </c>
      <c r="H1967" s="4">
        <v>0</v>
      </c>
      <c r="I1967" s="4">
        <v>-12110.35</v>
      </c>
      <c r="J1967" s="4">
        <v>-12007.97</v>
      </c>
      <c r="K1967" s="4">
        <v>0</v>
      </c>
    </row>
    <row r="1968" spans="1:11">
      <c r="A1968" s="4" t="str">
        <f t="shared" si="1247"/>
        <v>20210806</v>
      </c>
      <c r="B1968" s="4" t="str">
        <f t="shared" si="1248"/>
        <v>20210806</v>
      </c>
      <c r="C1968" s="4" t="str">
        <f>"证券卖出"</f>
        <v>证券卖出</v>
      </c>
      <c r="D1968" s="4" t="str">
        <f>"300355"</f>
        <v>300355</v>
      </c>
      <c r="E1968" s="4" t="str">
        <f>"蒙草生态"</f>
        <v>蒙草生态</v>
      </c>
      <c r="F1968" s="4">
        <v>4.01</v>
      </c>
      <c r="G1968" s="4">
        <v>3000</v>
      </c>
      <c r="H1968" s="4">
        <v>12030</v>
      </c>
      <c r="I1968" s="4">
        <v>12012.97</v>
      </c>
      <c r="J1968" s="4">
        <v>5</v>
      </c>
      <c r="K1968" s="4">
        <v>0</v>
      </c>
    </row>
    <row r="1969" spans="1:11">
      <c r="A1969" s="4" t="str">
        <f t="shared" si="1247"/>
        <v>20210806</v>
      </c>
      <c r="B1969" s="4" t="str">
        <f t="shared" si="1248"/>
        <v>20210806</v>
      </c>
      <c r="C1969" s="4" t="str">
        <f t="shared" si="1244"/>
        <v>港股通组合费</v>
      </c>
      <c r="D1969" s="4" t="str">
        <f t="shared" si="1245"/>
        <v/>
      </c>
      <c r="E1969" s="4" t="str">
        <f t="shared" si="1246"/>
        <v/>
      </c>
      <c r="F1969" s="4">
        <v>0</v>
      </c>
      <c r="G1969" s="4">
        <v>0</v>
      </c>
      <c r="H1969" s="4">
        <v>-0.04</v>
      </c>
      <c r="I1969" s="4">
        <v>-0.04</v>
      </c>
      <c r="J1969" s="4">
        <v>4.96</v>
      </c>
      <c r="K1969" s="4">
        <v>0</v>
      </c>
    </row>
    <row r="1970" spans="1:11">
      <c r="A1970" s="4" t="str">
        <f>"20210809"</f>
        <v>20210809</v>
      </c>
      <c r="B1970" s="4" t="str">
        <f>"20210809"</f>
        <v>20210809</v>
      </c>
      <c r="C1970" s="4" t="str">
        <f>"基金赎回拨入"</f>
        <v>基金赎回拨入</v>
      </c>
      <c r="D1970" s="4" t="str">
        <f t="shared" ref="D1970:D1975" si="1249">"AA0007"</f>
        <v>AA0007</v>
      </c>
      <c r="E1970" s="4" t="str">
        <f t="shared" ref="E1970:E1975" si="1250">"银河水星1号集合"</f>
        <v>银河水星1号集合</v>
      </c>
      <c r="F1970" s="4">
        <v>0</v>
      </c>
      <c r="G1970" s="4">
        <v>11778</v>
      </c>
      <c r="H1970" s="4">
        <v>0</v>
      </c>
      <c r="I1970" s="4">
        <v>11778.48</v>
      </c>
      <c r="J1970" s="4">
        <v>11783.44</v>
      </c>
      <c r="K1970" s="4">
        <v>0</v>
      </c>
    </row>
    <row r="1971" spans="1:11">
      <c r="A1971" s="4" t="str">
        <f>"20210809"</f>
        <v>20210809</v>
      </c>
      <c r="B1971" s="4" t="str">
        <f>"20210809"</f>
        <v>20210809</v>
      </c>
      <c r="C1971" s="4" t="str">
        <f t="shared" si="1244"/>
        <v>港股通组合费</v>
      </c>
      <c r="D1971" s="4" t="str">
        <f t="shared" si="1245"/>
        <v/>
      </c>
      <c r="E1971" s="4" t="str">
        <f t="shared" si="1246"/>
        <v/>
      </c>
      <c r="F1971" s="4">
        <v>0</v>
      </c>
      <c r="G1971" s="4">
        <v>0</v>
      </c>
      <c r="H1971" s="4">
        <v>-0.12</v>
      </c>
      <c r="I1971" s="4">
        <v>-0.12</v>
      </c>
      <c r="J1971" s="4">
        <v>11783.32</v>
      </c>
      <c r="K1971" s="4">
        <v>0</v>
      </c>
    </row>
    <row r="1972" spans="1:11">
      <c r="A1972" s="4" t="str">
        <f t="shared" ref="A1972:A1974" si="1251">"20210810"</f>
        <v>20210810</v>
      </c>
      <c r="B1972" s="4" t="str">
        <f>"0"</f>
        <v>0</v>
      </c>
      <c r="C1972" s="4" t="str">
        <f>"股息红利差异扣税"</f>
        <v>股息红利差异扣税</v>
      </c>
      <c r="D1972" s="4" t="str">
        <f>"300355"</f>
        <v>300355</v>
      </c>
      <c r="E1972" s="4" t="str">
        <f>"蒙草生态"</f>
        <v>蒙草生态</v>
      </c>
      <c r="F1972" s="4">
        <v>0</v>
      </c>
      <c r="G1972" s="4">
        <v>0</v>
      </c>
      <c r="H1972" s="4">
        <v>0</v>
      </c>
      <c r="I1972" s="4">
        <v>-13.2</v>
      </c>
      <c r="J1972" s="4">
        <v>11770.12</v>
      </c>
      <c r="K1972" s="4">
        <v>0</v>
      </c>
    </row>
    <row r="1973" spans="1:11">
      <c r="A1973" s="4" t="str">
        <f t="shared" si="1251"/>
        <v>20210810</v>
      </c>
      <c r="B1973" s="4" t="str">
        <f>"20210810"</f>
        <v>20210810</v>
      </c>
      <c r="C1973" s="4" t="str">
        <f>"基金赎回拨入"</f>
        <v>基金赎回拨入</v>
      </c>
      <c r="D1973" s="4" t="str">
        <f t="shared" si="1249"/>
        <v>AA0007</v>
      </c>
      <c r="E1973" s="4" t="str">
        <f t="shared" si="1250"/>
        <v>银河水星1号集合</v>
      </c>
      <c r="F1973" s="4">
        <v>0</v>
      </c>
      <c r="G1973" s="4">
        <v>60</v>
      </c>
      <c r="H1973" s="4">
        <v>0</v>
      </c>
      <c r="I1973" s="4">
        <v>60.12</v>
      </c>
      <c r="J1973" s="4">
        <v>11830.24</v>
      </c>
      <c r="K1973" s="4">
        <v>0</v>
      </c>
    </row>
    <row r="1974" spans="1:11">
      <c r="A1974" s="4" t="str">
        <f t="shared" si="1251"/>
        <v>20210810</v>
      </c>
      <c r="B1974" s="4" t="str">
        <f>"20210810"</f>
        <v>20210810</v>
      </c>
      <c r="C1974" s="4" t="str">
        <f>"港股通组合费"</f>
        <v>港股通组合费</v>
      </c>
      <c r="D1974" s="4" t="str">
        <f>""</f>
        <v/>
      </c>
      <c r="E1974" s="4" t="str">
        <f>""</f>
        <v/>
      </c>
      <c r="F1974" s="4">
        <v>0</v>
      </c>
      <c r="G1974" s="4">
        <v>0</v>
      </c>
      <c r="H1974" s="4">
        <v>-0.04</v>
      </c>
      <c r="I1974" s="4">
        <v>-0.04</v>
      </c>
      <c r="J1974" s="4">
        <v>11830.2</v>
      </c>
      <c r="K1974" s="4">
        <v>0</v>
      </c>
    </row>
    <row r="1975" spans="1:11">
      <c r="A1975" s="4" t="str">
        <f t="shared" ref="A1975:A1978" si="1252">"20210811"</f>
        <v>20210811</v>
      </c>
      <c r="B1975" s="4" t="str">
        <f t="shared" ref="B1975:B1978" si="1253">"20210811"</f>
        <v>20210811</v>
      </c>
      <c r="C1975" s="4" t="str">
        <f>"基金申购拨出"</f>
        <v>基金申购拨出</v>
      </c>
      <c r="D1975" s="4" t="str">
        <f t="shared" si="1249"/>
        <v>AA0007</v>
      </c>
      <c r="E1975" s="4" t="str">
        <f t="shared" si="1250"/>
        <v>银河水星1号集合</v>
      </c>
      <c r="F1975" s="4">
        <v>0</v>
      </c>
      <c r="G1975" s="4">
        <v>0</v>
      </c>
      <c r="H1975" s="4">
        <v>0</v>
      </c>
      <c r="I1975" s="4">
        <v>-11922.66</v>
      </c>
      <c r="J1975" s="4">
        <v>-92.46</v>
      </c>
      <c r="K1975" s="4">
        <v>0</v>
      </c>
    </row>
    <row r="1976" spans="1:11">
      <c r="A1976" s="4" t="str">
        <f t="shared" si="1252"/>
        <v>20210811</v>
      </c>
      <c r="B1976" s="4" t="str">
        <f t="shared" si="1253"/>
        <v>20210811</v>
      </c>
      <c r="C1976" s="4" t="str">
        <f>"证券卖出"</f>
        <v>证券卖出</v>
      </c>
      <c r="D1976" s="4" t="str">
        <f>"600028"</f>
        <v>600028</v>
      </c>
      <c r="E1976" s="4" t="str">
        <f>"中国石化"</f>
        <v>中国石化</v>
      </c>
      <c r="F1976" s="4">
        <v>4.02</v>
      </c>
      <c r="G1976" s="4">
        <v>3000</v>
      </c>
      <c r="H1976" s="4">
        <v>12060</v>
      </c>
      <c r="I1976" s="4">
        <v>12042.7</v>
      </c>
      <c r="J1976" s="4">
        <v>11950.24</v>
      </c>
      <c r="K1976" s="4">
        <v>8000</v>
      </c>
    </row>
    <row r="1977" spans="1:11">
      <c r="A1977" s="4" t="str">
        <f t="shared" si="1252"/>
        <v>20210811</v>
      </c>
      <c r="B1977" s="4" t="str">
        <f t="shared" si="1253"/>
        <v>20210811</v>
      </c>
      <c r="C1977" s="4" t="str">
        <f>"港股通红利发放"</f>
        <v>港股通红利发放</v>
      </c>
      <c r="D1977" s="4" t="str">
        <f>"01099"</f>
        <v>01099</v>
      </c>
      <c r="E1977" s="4" t="str">
        <f>"国药控股"</f>
        <v>国药控股</v>
      </c>
      <c r="F1977" s="4">
        <v>0.55</v>
      </c>
      <c r="G1977" s="4">
        <v>1200</v>
      </c>
      <c r="H1977" s="4">
        <v>662.4</v>
      </c>
      <c r="I1977" s="4">
        <v>0</v>
      </c>
      <c r="J1977" s="4">
        <v>12612.64</v>
      </c>
      <c r="K1977" s="4">
        <v>1200</v>
      </c>
    </row>
    <row r="1978" spans="1:11">
      <c r="A1978" s="4" t="str">
        <f t="shared" si="1252"/>
        <v>20210811</v>
      </c>
      <c r="B1978" s="4" t="str">
        <f t="shared" si="1253"/>
        <v>20210811</v>
      </c>
      <c r="C1978" s="4" t="str">
        <f>"港股通组合费"</f>
        <v>港股通组合费</v>
      </c>
      <c r="D1978" s="4" t="str">
        <f>""</f>
        <v/>
      </c>
      <c r="E1978" s="4" t="str">
        <f>""</f>
        <v/>
      </c>
      <c r="F1978" s="4">
        <v>0</v>
      </c>
      <c r="G1978" s="4">
        <v>0</v>
      </c>
      <c r="H1978" s="4">
        <v>-0.04</v>
      </c>
      <c r="I1978" s="4">
        <v>-0.04</v>
      </c>
      <c r="J1978" s="4">
        <v>12612.6</v>
      </c>
      <c r="K1978" s="4">
        <v>0</v>
      </c>
    </row>
    <row r="1979" spans="1:11">
      <c r="A1979" s="4" t="str">
        <f t="shared" ref="A1979:A1981" si="1254">"20210812"</f>
        <v>20210812</v>
      </c>
      <c r="B1979" s="4" t="str">
        <f t="shared" ref="B1979:B1981" si="1255">"20210812"</f>
        <v>20210812</v>
      </c>
      <c r="C1979" s="4" t="str">
        <f>"基金申购拨出"</f>
        <v>基金申购拨出</v>
      </c>
      <c r="D1979" s="4" t="str">
        <f>"AA0007"</f>
        <v>AA0007</v>
      </c>
      <c r="E1979" s="4" t="str">
        <f>"银河水星1号集合"</f>
        <v>银河水星1号集合</v>
      </c>
      <c r="F1979" s="4">
        <v>0</v>
      </c>
      <c r="G1979" s="4">
        <v>0</v>
      </c>
      <c r="H1979" s="4">
        <v>0</v>
      </c>
      <c r="I1979" s="4">
        <v>-12704.94</v>
      </c>
      <c r="J1979" s="4">
        <v>-92.34</v>
      </c>
      <c r="K1979" s="4">
        <v>0</v>
      </c>
    </row>
    <row r="1980" spans="1:11">
      <c r="A1980" s="4" t="str">
        <f t="shared" si="1254"/>
        <v>20210812</v>
      </c>
      <c r="B1980" s="4" t="str">
        <f t="shared" si="1255"/>
        <v>20210812</v>
      </c>
      <c r="C1980" s="4" t="str">
        <f>"证券卖出"</f>
        <v>证券卖出</v>
      </c>
      <c r="D1980" s="4" t="str">
        <f>"600028"</f>
        <v>600028</v>
      </c>
      <c r="E1980" s="4" t="str">
        <f>"中国石化"</f>
        <v>中国石化</v>
      </c>
      <c r="F1980" s="4">
        <v>4.06</v>
      </c>
      <c r="G1980" s="4">
        <v>3000</v>
      </c>
      <c r="H1980" s="4">
        <v>12180</v>
      </c>
      <c r="I1980" s="4">
        <v>12162.58</v>
      </c>
      <c r="J1980" s="4">
        <v>12070.24</v>
      </c>
      <c r="K1980" s="4">
        <v>5000</v>
      </c>
    </row>
    <row r="1981" spans="1:11">
      <c r="A1981" s="4" t="str">
        <f t="shared" si="1254"/>
        <v>20210812</v>
      </c>
      <c r="B1981" s="4" t="str">
        <f t="shared" si="1255"/>
        <v>20210812</v>
      </c>
      <c r="C1981" s="4" t="str">
        <f>"港股通组合费"</f>
        <v>港股通组合费</v>
      </c>
      <c r="D1981" s="4" t="str">
        <f>""</f>
        <v/>
      </c>
      <c r="E1981" s="4" t="str">
        <f>""</f>
        <v/>
      </c>
      <c r="F1981" s="4">
        <v>0</v>
      </c>
      <c r="G1981" s="4">
        <v>0</v>
      </c>
      <c r="H1981" s="4">
        <v>-0.04</v>
      </c>
      <c r="I1981" s="4">
        <v>-0.04</v>
      </c>
      <c r="J1981" s="4">
        <v>12070.2</v>
      </c>
      <c r="K1981" s="4">
        <v>0</v>
      </c>
    </row>
    <row r="1982" spans="1:11">
      <c r="A1982" s="4" t="str">
        <f t="shared" ref="A1982:A1984" si="1256">"20210813"</f>
        <v>20210813</v>
      </c>
      <c r="B1982" s="4" t="str">
        <f t="shared" ref="B1982:B1984" si="1257">"20210813"</f>
        <v>20210813</v>
      </c>
      <c r="C1982" s="4" t="str">
        <f>"基金赎回拨入"</f>
        <v>基金赎回拨入</v>
      </c>
      <c r="D1982" s="4" t="str">
        <f>"AA0007"</f>
        <v>AA0007</v>
      </c>
      <c r="E1982" s="4" t="str">
        <f>"银河水星1号集合"</f>
        <v>银河水星1号集合</v>
      </c>
      <c r="F1982" s="4">
        <v>0</v>
      </c>
      <c r="G1982" s="4">
        <v>11945</v>
      </c>
      <c r="H1982" s="4">
        <v>0</v>
      </c>
      <c r="I1982" s="4">
        <v>11945.28</v>
      </c>
      <c r="J1982" s="4">
        <v>24015.48</v>
      </c>
      <c r="K1982" s="4">
        <v>0</v>
      </c>
    </row>
    <row r="1983" spans="1:11">
      <c r="A1983" s="4" t="str">
        <f t="shared" si="1256"/>
        <v>20210813</v>
      </c>
      <c r="B1983" s="4" t="str">
        <f t="shared" si="1257"/>
        <v>20210813</v>
      </c>
      <c r="C1983" s="4" t="str">
        <f>"证券买入"</f>
        <v>证券买入</v>
      </c>
      <c r="D1983" s="4" t="str">
        <f t="shared" ref="D1983:D1989" si="1258">"600028"</f>
        <v>600028</v>
      </c>
      <c r="E1983" s="4" t="str">
        <f t="shared" ref="E1983:E1989" si="1259">"中国石化"</f>
        <v>中国石化</v>
      </c>
      <c r="F1983" s="4">
        <v>4.02</v>
      </c>
      <c r="G1983" s="4">
        <v>3000</v>
      </c>
      <c r="H1983" s="4">
        <v>12060</v>
      </c>
      <c r="I1983" s="4">
        <v>-12065.24</v>
      </c>
      <c r="J1983" s="4">
        <v>11950.24</v>
      </c>
      <c r="K1983" s="4">
        <v>8000</v>
      </c>
    </row>
    <row r="1984" spans="1:11">
      <c r="A1984" s="4" t="str">
        <f t="shared" si="1256"/>
        <v>20210813</v>
      </c>
      <c r="B1984" s="4" t="str">
        <f t="shared" si="1257"/>
        <v>20210813</v>
      </c>
      <c r="C1984" s="4" t="str">
        <f>"港股通组合费"</f>
        <v>港股通组合费</v>
      </c>
      <c r="D1984" s="4" t="str">
        <f>""</f>
        <v/>
      </c>
      <c r="E1984" s="4" t="str">
        <f>""</f>
        <v/>
      </c>
      <c r="F1984" s="4">
        <v>0</v>
      </c>
      <c r="G1984" s="4">
        <v>0</v>
      </c>
      <c r="H1984" s="4">
        <v>-0.04</v>
      </c>
      <c r="I1984" s="4">
        <v>-0.04</v>
      </c>
      <c r="J1984" s="4">
        <v>11950.2</v>
      </c>
      <c r="K1984" s="4">
        <v>0</v>
      </c>
    </row>
    <row r="1985" spans="1:11">
      <c r="A1985" s="4" t="str">
        <f t="shared" ref="A1985:A1987" si="1260">"20210816"</f>
        <v>20210816</v>
      </c>
      <c r="B1985" s="4" t="str">
        <f t="shared" ref="B1985:B1987" si="1261">"20210816"</f>
        <v>20210816</v>
      </c>
      <c r="C1985" s="4" t="str">
        <f>"基金申购拨出"</f>
        <v>基金申购拨出</v>
      </c>
      <c r="D1985" s="4" t="str">
        <f>"AA0007"</f>
        <v>AA0007</v>
      </c>
      <c r="E1985" s="4" t="str">
        <f>"银河水星1号集合"</f>
        <v>银河水星1号集合</v>
      </c>
      <c r="F1985" s="4">
        <v>0</v>
      </c>
      <c r="G1985" s="4">
        <v>0</v>
      </c>
      <c r="H1985" s="4">
        <v>0</v>
      </c>
      <c r="I1985" s="4">
        <v>-12042.54</v>
      </c>
      <c r="J1985" s="4">
        <v>-92.34</v>
      </c>
      <c r="K1985" s="4">
        <v>0</v>
      </c>
    </row>
    <row r="1986" spans="1:11">
      <c r="A1986" s="4" t="str">
        <f t="shared" si="1260"/>
        <v>20210816</v>
      </c>
      <c r="B1986" s="4" t="str">
        <f t="shared" si="1261"/>
        <v>20210816</v>
      </c>
      <c r="C1986" s="4" t="str">
        <f>"证券卖出"</f>
        <v>证券卖出</v>
      </c>
      <c r="D1986" s="4" t="str">
        <f t="shared" si="1258"/>
        <v>600028</v>
      </c>
      <c r="E1986" s="4" t="str">
        <f t="shared" si="1259"/>
        <v>中国石化</v>
      </c>
      <c r="F1986" s="4">
        <v>4.06</v>
      </c>
      <c r="G1986" s="4">
        <v>3000</v>
      </c>
      <c r="H1986" s="4">
        <v>12180</v>
      </c>
      <c r="I1986" s="4">
        <v>12162.58</v>
      </c>
      <c r="J1986" s="4">
        <v>12070.24</v>
      </c>
      <c r="K1986" s="4">
        <v>5000</v>
      </c>
    </row>
    <row r="1987" spans="1:11">
      <c r="A1987" s="4" t="str">
        <f t="shared" si="1260"/>
        <v>20210816</v>
      </c>
      <c r="B1987" s="4" t="str">
        <f t="shared" si="1261"/>
        <v>20210816</v>
      </c>
      <c r="C1987" s="4" t="str">
        <f t="shared" ref="C1987:C1991" si="1262">"港股通组合费"</f>
        <v>港股通组合费</v>
      </c>
      <c r="D1987" s="4" t="str">
        <f t="shared" ref="D1987:D1991" si="1263">""</f>
        <v/>
      </c>
      <c r="E1987" s="4" t="str">
        <f t="shared" ref="E1987:E1991" si="1264">""</f>
        <v/>
      </c>
      <c r="F1987" s="4">
        <v>0</v>
      </c>
      <c r="G1987" s="4">
        <v>0</v>
      </c>
      <c r="H1987" s="4">
        <v>-0.12</v>
      </c>
      <c r="I1987" s="4">
        <v>-0.12</v>
      </c>
      <c r="J1987" s="4">
        <v>12070.12</v>
      </c>
      <c r="K1987" s="4">
        <v>0</v>
      </c>
    </row>
    <row r="1988" spans="1:11">
      <c r="A1988" s="4" t="str">
        <f t="shared" ref="A1988:A1990" si="1265">"20210817"</f>
        <v>20210817</v>
      </c>
      <c r="B1988" s="4" t="str">
        <f t="shared" ref="B1988:B1990" si="1266">"20210817"</f>
        <v>20210817</v>
      </c>
      <c r="C1988" s="4" t="str">
        <f>"证券卖出"</f>
        <v>证券卖出</v>
      </c>
      <c r="D1988" s="4" t="str">
        <f t="shared" si="1258"/>
        <v>600028</v>
      </c>
      <c r="E1988" s="4" t="str">
        <f t="shared" si="1259"/>
        <v>中国石化</v>
      </c>
      <c r="F1988" s="4">
        <v>4.1</v>
      </c>
      <c r="G1988" s="4">
        <v>3000</v>
      </c>
      <c r="H1988" s="4">
        <v>12300</v>
      </c>
      <c r="I1988" s="4">
        <v>12282.45</v>
      </c>
      <c r="J1988" s="4">
        <v>24352.57</v>
      </c>
      <c r="K1988" s="4">
        <v>2000</v>
      </c>
    </row>
    <row r="1989" spans="1:11">
      <c r="A1989" s="4" t="str">
        <f t="shared" si="1265"/>
        <v>20210817</v>
      </c>
      <c r="B1989" s="4" t="str">
        <f t="shared" si="1266"/>
        <v>20210817</v>
      </c>
      <c r="C1989" s="4" t="str">
        <f t="shared" ref="C1989:C1994" si="1267">"证券买入"</f>
        <v>证券买入</v>
      </c>
      <c r="D1989" s="4" t="str">
        <f t="shared" si="1258"/>
        <v>600028</v>
      </c>
      <c r="E1989" s="4" t="str">
        <f t="shared" si="1259"/>
        <v>中国石化</v>
      </c>
      <c r="F1989" s="4">
        <v>4.06</v>
      </c>
      <c r="G1989" s="4">
        <v>3000</v>
      </c>
      <c r="H1989" s="4">
        <v>12180</v>
      </c>
      <c r="I1989" s="4">
        <v>-12185.24</v>
      </c>
      <c r="J1989" s="4">
        <v>12167.33</v>
      </c>
      <c r="K1989" s="4">
        <v>5000</v>
      </c>
    </row>
    <row r="1990" spans="1:11">
      <c r="A1990" s="4" t="str">
        <f t="shared" si="1265"/>
        <v>20210817</v>
      </c>
      <c r="B1990" s="4" t="str">
        <f t="shared" si="1266"/>
        <v>20210817</v>
      </c>
      <c r="C1990" s="4" t="str">
        <f t="shared" si="1262"/>
        <v>港股通组合费</v>
      </c>
      <c r="D1990" s="4" t="str">
        <f t="shared" si="1263"/>
        <v/>
      </c>
      <c r="E1990" s="4" t="str">
        <f t="shared" si="1264"/>
        <v/>
      </c>
      <c r="F1990" s="4">
        <v>0</v>
      </c>
      <c r="G1990" s="4">
        <v>0</v>
      </c>
      <c r="H1990" s="4">
        <v>-0.04</v>
      </c>
      <c r="I1990" s="4">
        <v>-0.04</v>
      </c>
      <c r="J1990" s="4">
        <v>12167.29</v>
      </c>
      <c r="K1990" s="4">
        <v>0</v>
      </c>
    </row>
    <row r="1991" spans="1:11">
      <c r="A1991" s="4" t="str">
        <f>"20210818"</f>
        <v>20210818</v>
      </c>
      <c r="B1991" s="4" t="str">
        <f>"20210818"</f>
        <v>20210818</v>
      </c>
      <c r="C1991" s="4" t="str">
        <f t="shared" si="1262"/>
        <v>港股通组合费</v>
      </c>
      <c r="D1991" s="4" t="str">
        <f t="shared" si="1263"/>
        <v/>
      </c>
      <c r="E1991" s="4" t="str">
        <f t="shared" si="1264"/>
        <v/>
      </c>
      <c r="F1991" s="4">
        <v>0</v>
      </c>
      <c r="G1991" s="4">
        <v>0</v>
      </c>
      <c r="H1991" s="4">
        <v>-0.04</v>
      </c>
      <c r="I1991" s="4">
        <v>-0.04</v>
      </c>
      <c r="J1991" s="4">
        <v>12167.25</v>
      </c>
      <c r="K1991" s="4">
        <v>0</v>
      </c>
    </row>
    <row r="1992" spans="1:11">
      <c r="A1992" s="4" t="str">
        <f t="shared" ref="A1992:A1995" si="1268">"20210819"</f>
        <v>20210819</v>
      </c>
      <c r="B1992" s="4" t="str">
        <f t="shared" ref="B1992:B1995" si="1269">"20210819"</f>
        <v>20210819</v>
      </c>
      <c r="C1992" s="4" t="str">
        <f>"基金赎回拨入"</f>
        <v>基金赎回拨入</v>
      </c>
      <c r="D1992" s="4" t="str">
        <f>"AA0007"</f>
        <v>AA0007</v>
      </c>
      <c r="E1992" s="4" t="str">
        <f>"银河水星1号集合"</f>
        <v>银河水星1号集合</v>
      </c>
      <c r="F1992" s="4">
        <v>0</v>
      </c>
      <c r="G1992" s="4">
        <v>23493</v>
      </c>
      <c r="H1992" s="4">
        <v>0</v>
      </c>
      <c r="I1992" s="4">
        <v>23493.46</v>
      </c>
      <c r="J1992" s="4">
        <v>35660.71</v>
      </c>
      <c r="K1992" s="4">
        <v>0</v>
      </c>
    </row>
    <row r="1993" spans="1:11">
      <c r="A1993" s="4" t="str">
        <f t="shared" si="1268"/>
        <v>20210819</v>
      </c>
      <c r="B1993" s="4" t="str">
        <f t="shared" si="1269"/>
        <v>20210819</v>
      </c>
      <c r="C1993" s="4" t="str">
        <f t="shared" si="1267"/>
        <v>证券买入</v>
      </c>
      <c r="D1993" s="4" t="str">
        <f>"600028"</f>
        <v>600028</v>
      </c>
      <c r="E1993" s="4" t="str">
        <f>"中国石化"</f>
        <v>中国石化</v>
      </c>
      <c r="F1993" s="4">
        <v>4.01</v>
      </c>
      <c r="G1993" s="4">
        <v>3000</v>
      </c>
      <c r="H1993" s="4">
        <v>12030</v>
      </c>
      <c r="I1993" s="4">
        <v>-12035.24</v>
      </c>
      <c r="J1993" s="4">
        <v>23625.47</v>
      </c>
      <c r="K1993" s="4">
        <v>8000</v>
      </c>
    </row>
    <row r="1994" spans="1:11">
      <c r="A1994" s="4" t="str">
        <f t="shared" si="1268"/>
        <v>20210819</v>
      </c>
      <c r="B1994" s="4" t="str">
        <f t="shared" si="1269"/>
        <v>20210819</v>
      </c>
      <c r="C1994" s="4" t="str">
        <f t="shared" si="1267"/>
        <v>证券买入</v>
      </c>
      <c r="D1994" s="4" t="str">
        <f>"600028"</f>
        <v>600028</v>
      </c>
      <c r="E1994" s="4" t="str">
        <f>"中国石化"</f>
        <v>中国石化</v>
      </c>
      <c r="F1994" s="4">
        <v>3.96</v>
      </c>
      <c r="G1994" s="4">
        <v>3000</v>
      </c>
      <c r="H1994" s="4">
        <v>11880</v>
      </c>
      <c r="I1994" s="4">
        <v>-11885.24</v>
      </c>
      <c r="J1994" s="4">
        <v>11740.23</v>
      </c>
      <c r="K1994" s="4">
        <v>11000</v>
      </c>
    </row>
    <row r="1995" spans="1:11">
      <c r="A1995" s="4" t="str">
        <f t="shared" si="1268"/>
        <v>20210819</v>
      </c>
      <c r="B1995" s="4" t="str">
        <f t="shared" si="1269"/>
        <v>20210819</v>
      </c>
      <c r="C1995" s="4" t="str">
        <f t="shared" ref="C1995:C1999" si="1270">"港股通组合费"</f>
        <v>港股通组合费</v>
      </c>
      <c r="D1995" s="4" t="str">
        <f t="shared" ref="D1995:D1999" si="1271">""</f>
        <v/>
      </c>
      <c r="E1995" s="4" t="str">
        <f t="shared" ref="E1995:E1999" si="1272">""</f>
        <v/>
      </c>
      <c r="F1995" s="4">
        <v>0</v>
      </c>
      <c r="G1995" s="4">
        <v>0</v>
      </c>
      <c r="H1995" s="4">
        <v>-0.04</v>
      </c>
      <c r="I1995" s="4">
        <v>-0.04</v>
      </c>
      <c r="J1995" s="4">
        <v>11740.19</v>
      </c>
      <c r="K1995" s="4">
        <v>0</v>
      </c>
    </row>
    <row r="1996" spans="1:11">
      <c r="A1996" s="4" t="str">
        <f>"20210820"</f>
        <v>20210820</v>
      </c>
      <c r="B1996" s="4" t="str">
        <f>"20210820"</f>
        <v>20210820</v>
      </c>
      <c r="C1996" s="4" t="str">
        <f>"基金赎回拨入"</f>
        <v>基金赎回拨入</v>
      </c>
      <c r="D1996" s="4" t="str">
        <f t="shared" ref="D1996:D2000" si="1273">"AA0007"</f>
        <v>AA0007</v>
      </c>
      <c r="E1996" s="4" t="str">
        <f t="shared" ref="E1996:E2000" si="1274">"银河水星1号集合"</f>
        <v>银河水星1号集合</v>
      </c>
      <c r="F1996" s="4">
        <v>0</v>
      </c>
      <c r="G1996" s="4">
        <v>0</v>
      </c>
      <c r="H1996" s="4">
        <v>0</v>
      </c>
      <c r="I1996" s="4">
        <v>0.04</v>
      </c>
      <c r="J1996" s="4">
        <v>11740.23</v>
      </c>
      <c r="K1996" s="4">
        <v>0</v>
      </c>
    </row>
    <row r="1997" spans="1:11">
      <c r="A1997" s="4" t="str">
        <f>"20210820"</f>
        <v>20210820</v>
      </c>
      <c r="B1997" s="4" t="str">
        <f>"20210820"</f>
        <v>20210820</v>
      </c>
      <c r="C1997" s="4" t="str">
        <f t="shared" si="1270"/>
        <v>港股通组合费</v>
      </c>
      <c r="D1997" s="4" t="str">
        <f t="shared" si="1271"/>
        <v/>
      </c>
      <c r="E1997" s="4" t="str">
        <f t="shared" si="1272"/>
        <v/>
      </c>
      <c r="F1997" s="4">
        <v>0</v>
      </c>
      <c r="G1997" s="4">
        <v>0</v>
      </c>
      <c r="H1997" s="4">
        <v>-0.04</v>
      </c>
      <c r="I1997" s="4">
        <v>-0.04</v>
      </c>
      <c r="J1997" s="4">
        <v>11740.19</v>
      </c>
      <c r="K1997" s="4">
        <v>0</v>
      </c>
    </row>
    <row r="1998" spans="1:11">
      <c r="A1998" s="4" t="str">
        <f>"20210823"</f>
        <v>20210823</v>
      </c>
      <c r="B1998" s="4" t="str">
        <f>"20210823"</f>
        <v>20210823</v>
      </c>
      <c r="C1998" s="4" t="str">
        <f>"基金赎回拨入"</f>
        <v>基金赎回拨入</v>
      </c>
      <c r="D1998" s="4" t="str">
        <f t="shared" si="1273"/>
        <v>AA0007</v>
      </c>
      <c r="E1998" s="4" t="str">
        <f t="shared" si="1274"/>
        <v>银河水星1号集合</v>
      </c>
      <c r="F1998" s="4">
        <v>0</v>
      </c>
      <c r="G1998" s="4">
        <v>0</v>
      </c>
      <c r="H1998" s="4">
        <v>0</v>
      </c>
      <c r="I1998" s="4">
        <v>0.04</v>
      </c>
      <c r="J1998" s="4">
        <v>11740.23</v>
      </c>
      <c r="K1998" s="4">
        <v>0</v>
      </c>
    </row>
    <row r="1999" spans="1:11">
      <c r="A1999" s="4" t="str">
        <f>"20210823"</f>
        <v>20210823</v>
      </c>
      <c r="B1999" s="4" t="str">
        <f>"20210823"</f>
        <v>20210823</v>
      </c>
      <c r="C1999" s="4" t="str">
        <f t="shared" si="1270"/>
        <v>港股通组合费</v>
      </c>
      <c r="D1999" s="4" t="str">
        <f t="shared" si="1271"/>
        <v/>
      </c>
      <c r="E1999" s="4" t="str">
        <f t="shared" si="1272"/>
        <v/>
      </c>
      <c r="F1999" s="4">
        <v>0</v>
      </c>
      <c r="G1999" s="4">
        <v>0</v>
      </c>
      <c r="H1999" s="4">
        <v>-0.13</v>
      </c>
      <c r="I1999" s="4">
        <v>-0.13</v>
      </c>
      <c r="J1999" s="4">
        <v>11740.1</v>
      </c>
      <c r="K1999" s="4">
        <v>0</v>
      </c>
    </row>
    <row r="2000" spans="1:11">
      <c r="A2000" s="4" t="str">
        <f t="shared" ref="A2000:A2002" si="1275">"20210824"</f>
        <v>20210824</v>
      </c>
      <c r="B2000" s="4" t="str">
        <f t="shared" ref="B2000:B2002" si="1276">"20210824"</f>
        <v>20210824</v>
      </c>
      <c r="C2000" s="4" t="str">
        <f>"基金申购拨出"</f>
        <v>基金申购拨出</v>
      </c>
      <c r="D2000" s="4" t="str">
        <f t="shared" si="1273"/>
        <v>AA0007</v>
      </c>
      <c r="E2000" s="4" t="str">
        <f t="shared" si="1274"/>
        <v>银河水星1号集合</v>
      </c>
      <c r="F2000" s="4">
        <v>0</v>
      </c>
      <c r="G2000" s="4">
        <v>0</v>
      </c>
      <c r="H2000" s="4">
        <v>0</v>
      </c>
      <c r="I2000" s="4">
        <v>-11892.56</v>
      </c>
      <c r="J2000" s="4">
        <v>-152.46</v>
      </c>
      <c r="K2000" s="4">
        <v>0</v>
      </c>
    </row>
    <row r="2001" spans="1:11">
      <c r="A2001" s="4" t="str">
        <f t="shared" si="1275"/>
        <v>20210824</v>
      </c>
      <c r="B2001" s="4" t="str">
        <f t="shared" si="1276"/>
        <v>20210824</v>
      </c>
      <c r="C2001" s="4" t="str">
        <f>"证券卖出"</f>
        <v>证券卖出</v>
      </c>
      <c r="D2001" s="4" t="str">
        <f>"600028"</f>
        <v>600028</v>
      </c>
      <c r="E2001" s="4" t="str">
        <f>"中国石化"</f>
        <v>中国石化</v>
      </c>
      <c r="F2001" s="4">
        <v>4.02</v>
      </c>
      <c r="G2001" s="4">
        <v>3000</v>
      </c>
      <c r="H2001" s="4">
        <v>12060</v>
      </c>
      <c r="I2001" s="4">
        <v>12042.7</v>
      </c>
      <c r="J2001" s="4">
        <v>11890.24</v>
      </c>
      <c r="K2001" s="4">
        <v>8000</v>
      </c>
    </row>
    <row r="2002" spans="1:11">
      <c r="A2002" s="4" t="str">
        <f t="shared" si="1275"/>
        <v>20210824</v>
      </c>
      <c r="B2002" s="4" t="str">
        <f t="shared" si="1276"/>
        <v>20210824</v>
      </c>
      <c r="C2002" s="4" t="str">
        <f>"港股通组合费"</f>
        <v>港股通组合费</v>
      </c>
      <c r="D2002" s="4" t="str">
        <f>""</f>
        <v/>
      </c>
      <c r="E2002" s="4" t="str">
        <f>""</f>
        <v/>
      </c>
      <c r="F2002" s="4">
        <v>0</v>
      </c>
      <c r="G2002" s="4">
        <v>0</v>
      </c>
      <c r="H2002" s="4">
        <v>-0.04</v>
      </c>
      <c r="I2002" s="4">
        <v>-0.04</v>
      </c>
      <c r="J2002" s="4">
        <v>11890.2</v>
      </c>
      <c r="K2002" s="4">
        <v>0</v>
      </c>
    </row>
    <row r="2003" spans="1:11">
      <c r="A2003" s="4" t="str">
        <f>"20210825"</f>
        <v>20210825</v>
      </c>
      <c r="B2003" s="4" t="str">
        <f>"20210825"</f>
        <v>20210825</v>
      </c>
      <c r="C2003" s="4" t="str">
        <f>"基金赎回拨入"</f>
        <v>基金赎回拨入</v>
      </c>
      <c r="D2003" s="4" t="str">
        <f>"AA0007"</f>
        <v>AA0007</v>
      </c>
      <c r="E2003" s="4" t="str">
        <f>"银河水星1号集合"</f>
        <v>银河水星1号集合</v>
      </c>
      <c r="F2003" s="4">
        <v>0</v>
      </c>
      <c r="G2003" s="4">
        <v>0</v>
      </c>
      <c r="H2003" s="4">
        <v>0</v>
      </c>
      <c r="I2003" s="4">
        <v>0.04</v>
      </c>
      <c r="J2003" s="4">
        <v>11890.24</v>
      </c>
      <c r="K2003" s="4">
        <v>0</v>
      </c>
    </row>
    <row r="2004" spans="1:11">
      <c r="A2004" s="4" t="str">
        <f>"20210825"</f>
        <v>20210825</v>
      </c>
      <c r="B2004" s="4" t="str">
        <f>"20210825"</f>
        <v>20210825</v>
      </c>
      <c r="C2004" s="4" t="str">
        <f>"港股通组合费"</f>
        <v>港股通组合费</v>
      </c>
      <c r="D2004" s="4" t="str">
        <f>""</f>
        <v/>
      </c>
      <c r="E2004" s="4" t="str">
        <f>""</f>
        <v/>
      </c>
      <c r="F2004" s="4">
        <v>0</v>
      </c>
      <c r="G2004" s="4">
        <v>0</v>
      </c>
      <c r="H2004" s="4">
        <v>-0.04</v>
      </c>
      <c r="I2004" s="4">
        <v>-0.04</v>
      </c>
      <c r="J2004" s="4">
        <v>11890.2</v>
      </c>
      <c r="K2004" s="4">
        <v>0</v>
      </c>
    </row>
    <row r="2005" spans="1:11">
      <c r="A2005" s="4" t="str">
        <f t="shared" ref="A2005:A2008" si="1277">"20210826"</f>
        <v>20210826</v>
      </c>
      <c r="B2005" s="4" t="str">
        <f t="shared" ref="B2005:B2008" si="1278">"20210826"</f>
        <v>20210826</v>
      </c>
      <c r="C2005" s="4" t="str">
        <f>"基金申购拨出"</f>
        <v>基金申购拨出</v>
      </c>
      <c r="D2005" s="4" t="str">
        <f>"AA0007"</f>
        <v>AA0007</v>
      </c>
      <c r="E2005" s="4" t="str">
        <f>"银河水星1号集合"</f>
        <v>银河水星1号集合</v>
      </c>
      <c r="F2005" s="4">
        <v>0</v>
      </c>
      <c r="G2005" s="4">
        <v>0</v>
      </c>
      <c r="H2005" s="4">
        <v>0</v>
      </c>
      <c r="I2005" s="4">
        <v>-12012.54</v>
      </c>
      <c r="J2005" s="4">
        <v>-122.34</v>
      </c>
      <c r="K2005" s="4">
        <v>0</v>
      </c>
    </row>
    <row r="2006" spans="1:11">
      <c r="A2006" s="4" t="str">
        <f t="shared" si="1277"/>
        <v>20210826</v>
      </c>
      <c r="B2006" s="4" t="str">
        <f t="shared" si="1278"/>
        <v>20210826</v>
      </c>
      <c r="C2006" s="4" t="str">
        <f>"红利入账"</f>
        <v>红利入账</v>
      </c>
      <c r="D2006" s="4" t="str">
        <f>"000601"</f>
        <v>000601</v>
      </c>
      <c r="E2006" s="4" t="str">
        <f>"韶能股份"</f>
        <v>韶能股份</v>
      </c>
      <c r="F2006" s="4">
        <v>0</v>
      </c>
      <c r="G2006" s="4">
        <v>0</v>
      </c>
      <c r="H2006" s="4">
        <v>85</v>
      </c>
      <c r="I2006" s="4">
        <v>85</v>
      </c>
      <c r="J2006" s="4">
        <v>-37.34</v>
      </c>
      <c r="K2006" s="4">
        <v>0</v>
      </c>
    </row>
    <row r="2007" spans="1:11">
      <c r="A2007" s="4" t="str">
        <f t="shared" si="1277"/>
        <v>20210826</v>
      </c>
      <c r="B2007" s="4" t="str">
        <f t="shared" si="1278"/>
        <v>20210826</v>
      </c>
      <c r="C2007" s="4" t="str">
        <f>"证券卖出"</f>
        <v>证券卖出</v>
      </c>
      <c r="D2007" s="4" t="str">
        <f>"600028"</f>
        <v>600028</v>
      </c>
      <c r="E2007" s="4" t="str">
        <f>"中国石化"</f>
        <v>中国石化</v>
      </c>
      <c r="F2007" s="4">
        <v>4.06</v>
      </c>
      <c r="G2007" s="4">
        <v>3000</v>
      </c>
      <c r="H2007" s="4">
        <v>12180</v>
      </c>
      <c r="I2007" s="4">
        <v>12162.58</v>
      </c>
      <c r="J2007" s="4">
        <v>12125.24</v>
      </c>
      <c r="K2007" s="4">
        <v>5000</v>
      </c>
    </row>
    <row r="2008" spans="1:11">
      <c r="A2008" s="4" t="str">
        <f t="shared" si="1277"/>
        <v>20210826</v>
      </c>
      <c r="B2008" s="4" t="str">
        <f t="shared" si="1278"/>
        <v>20210826</v>
      </c>
      <c r="C2008" s="4" t="str">
        <f>"港股通组合费"</f>
        <v>港股通组合费</v>
      </c>
      <c r="D2008" s="4" t="str">
        <f>""</f>
        <v/>
      </c>
      <c r="E2008" s="4" t="str">
        <f>""</f>
        <v/>
      </c>
      <c r="F2008" s="4">
        <v>0</v>
      </c>
      <c r="G2008" s="4">
        <v>0</v>
      </c>
      <c r="H2008" s="4">
        <v>-0.04</v>
      </c>
      <c r="I2008" s="4">
        <v>-0.04</v>
      </c>
      <c r="J2008" s="4">
        <v>12125.2</v>
      </c>
      <c r="K2008" s="4">
        <v>0</v>
      </c>
    </row>
    <row r="2009" spans="1:11">
      <c r="A2009" s="4" t="str">
        <f t="shared" ref="A2009:A2011" si="1279">"20210827"</f>
        <v>20210827</v>
      </c>
      <c r="B2009" s="4" t="str">
        <f t="shared" ref="B2009:B2011" si="1280">"20210827"</f>
        <v>20210827</v>
      </c>
      <c r="C2009" s="4" t="str">
        <f>"基金申购拨出"</f>
        <v>基金申购拨出</v>
      </c>
      <c r="D2009" s="4" t="str">
        <f>"AA0007"</f>
        <v>AA0007</v>
      </c>
      <c r="E2009" s="4" t="str">
        <f>"银河水星1号集合"</f>
        <v>银河水星1号集合</v>
      </c>
      <c r="F2009" s="4">
        <v>0</v>
      </c>
      <c r="G2009" s="4">
        <v>0</v>
      </c>
      <c r="H2009" s="4">
        <v>0</v>
      </c>
      <c r="I2009" s="4">
        <v>-12247.38</v>
      </c>
      <c r="J2009" s="4">
        <v>-122.18</v>
      </c>
      <c r="K2009" s="4">
        <v>0</v>
      </c>
    </row>
    <row r="2010" spans="1:11">
      <c r="A2010" s="4" t="str">
        <f t="shared" si="1279"/>
        <v>20210827</v>
      </c>
      <c r="B2010" s="4" t="str">
        <f t="shared" si="1280"/>
        <v>20210827</v>
      </c>
      <c r="C2010" s="4" t="str">
        <f>"证券卖出"</f>
        <v>证券卖出</v>
      </c>
      <c r="D2010" s="4" t="str">
        <f>"600028"</f>
        <v>600028</v>
      </c>
      <c r="E2010" s="4" t="str">
        <f>"中国石化"</f>
        <v>中国石化</v>
      </c>
      <c r="F2010" s="4">
        <v>4.11</v>
      </c>
      <c r="G2010" s="4">
        <v>3000</v>
      </c>
      <c r="H2010" s="4">
        <v>12330</v>
      </c>
      <c r="I2010" s="4">
        <v>12312.42</v>
      </c>
      <c r="J2010" s="4">
        <v>12190.24</v>
      </c>
      <c r="K2010" s="4">
        <v>2000</v>
      </c>
    </row>
    <row r="2011" spans="1:11">
      <c r="A2011" s="4" t="str">
        <f t="shared" si="1279"/>
        <v>20210827</v>
      </c>
      <c r="B2011" s="4" t="str">
        <f t="shared" si="1280"/>
        <v>20210827</v>
      </c>
      <c r="C2011" s="4" t="str">
        <f t="shared" ref="C2011:C2015" si="1281">"港股通组合费"</f>
        <v>港股通组合费</v>
      </c>
      <c r="D2011" s="4" t="str">
        <f t="shared" ref="D2011:D2015" si="1282">""</f>
        <v/>
      </c>
      <c r="E2011" s="4" t="str">
        <f t="shared" ref="E2011:E2015" si="1283">""</f>
        <v/>
      </c>
      <c r="F2011" s="4">
        <v>0</v>
      </c>
      <c r="G2011" s="4">
        <v>0</v>
      </c>
      <c r="H2011" s="4">
        <v>-0.04</v>
      </c>
      <c r="I2011" s="4">
        <v>-0.04</v>
      </c>
      <c r="J2011" s="4">
        <v>12190.2</v>
      </c>
      <c r="K2011" s="4">
        <v>0</v>
      </c>
    </row>
    <row r="2012" spans="1:11">
      <c r="A2012" s="4" t="str">
        <f t="shared" ref="A2012:A2014" si="1284">"20210830"</f>
        <v>20210830</v>
      </c>
      <c r="B2012" s="4" t="str">
        <f t="shared" ref="B2012:B2014" si="1285">"20210830"</f>
        <v>20210830</v>
      </c>
      <c r="C2012" s="4" t="str">
        <f>"基金赎回拨入"</f>
        <v>基金赎回拨入</v>
      </c>
      <c r="D2012" s="4" t="str">
        <f>"AA0007"</f>
        <v>AA0007</v>
      </c>
      <c r="E2012" s="4" t="str">
        <f>"银河水星1号集合"</f>
        <v>银河水星1号集合</v>
      </c>
      <c r="F2012" s="4">
        <v>0</v>
      </c>
      <c r="G2012" s="4">
        <v>4847</v>
      </c>
      <c r="H2012" s="4">
        <v>0</v>
      </c>
      <c r="I2012" s="4">
        <v>4847.27</v>
      </c>
      <c r="J2012" s="4">
        <v>17037.47</v>
      </c>
      <c r="K2012" s="4">
        <v>0</v>
      </c>
    </row>
    <row r="2013" spans="1:11">
      <c r="A2013" s="4" t="str">
        <f t="shared" si="1284"/>
        <v>20210830</v>
      </c>
      <c r="B2013" s="4" t="str">
        <f t="shared" si="1285"/>
        <v>20210830</v>
      </c>
      <c r="C2013" s="4" t="str">
        <f>"证券卖出"</f>
        <v>证券卖出</v>
      </c>
      <c r="D2013" s="4" t="str">
        <f>"600028"</f>
        <v>600028</v>
      </c>
      <c r="E2013" s="4" t="str">
        <f>"中国石化"</f>
        <v>中国石化</v>
      </c>
      <c r="F2013" s="4">
        <v>4.16</v>
      </c>
      <c r="G2013" s="4">
        <v>2000</v>
      </c>
      <c r="H2013" s="4">
        <v>8320</v>
      </c>
      <c r="I2013" s="4">
        <v>8306.51</v>
      </c>
      <c r="J2013" s="4">
        <v>25343.98</v>
      </c>
      <c r="K2013" s="4">
        <v>0</v>
      </c>
    </row>
    <row r="2014" spans="1:11">
      <c r="A2014" s="4" t="str">
        <f t="shared" si="1284"/>
        <v>20210830</v>
      </c>
      <c r="B2014" s="4" t="str">
        <f t="shared" si="1285"/>
        <v>20210830</v>
      </c>
      <c r="C2014" s="4" t="str">
        <f t="shared" si="1281"/>
        <v>港股通组合费</v>
      </c>
      <c r="D2014" s="4" t="str">
        <f t="shared" si="1282"/>
        <v/>
      </c>
      <c r="E2014" s="4" t="str">
        <f t="shared" si="1283"/>
        <v/>
      </c>
      <c r="F2014" s="4">
        <v>0</v>
      </c>
      <c r="G2014" s="4">
        <v>0</v>
      </c>
      <c r="H2014" s="4">
        <v>-0.12</v>
      </c>
      <c r="I2014" s="4">
        <v>-0.12</v>
      </c>
      <c r="J2014" s="4">
        <v>25343.86</v>
      </c>
      <c r="K2014" s="4">
        <v>0</v>
      </c>
    </row>
    <row r="2015" spans="1:11">
      <c r="A2015" s="4" t="str">
        <f>"20210831"</f>
        <v>20210831</v>
      </c>
      <c r="B2015" s="4" t="str">
        <f>"20210831"</f>
        <v>20210831</v>
      </c>
      <c r="C2015" s="4" t="str">
        <f t="shared" si="1281"/>
        <v>港股通组合费</v>
      </c>
      <c r="D2015" s="4" t="str">
        <f t="shared" si="1282"/>
        <v/>
      </c>
      <c r="E2015" s="4" t="str">
        <f t="shared" si="1283"/>
        <v/>
      </c>
      <c r="F2015" s="4">
        <v>0</v>
      </c>
      <c r="G2015" s="4">
        <v>0</v>
      </c>
      <c r="H2015" s="4">
        <v>-0.04</v>
      </c>
      <c r="I2015" s="4">
        <v>-0.04</v>
      </c>
      <c r="J2015" s="4">
        <v>25343.82</v>
      </c>
      <c r="K2015" s="4">
        <v>0</v>
      </c>
    </row>
    <row r="2016" spans="1:11">
      <c r="A2016" s="4" t="str">
        <f t="shared" ref="A2016:A2019" si="1286">"20210901"</f>
        <v>20210901</v>
      </c>
      <c r="B2016" s="4" t="str">
        <f t="shared" ref="B2016:B2019" si="1287">"20210901"</f>
        <v>20210901</v>
      </c>
      <c r="C2016" s="4" t="str">
        <f>"基金赎回拨入"</f>
        <v>基金赎回拨入</v>
      </c>
      <c r="D2016" s="4" t="str">
        <f>"AA0007"</f>
        <v>AA0007</v>
      </c>
      <c r="E2016" s="4" t="str">
        <f>"银河水星1号集合"</f>
        <v>银河水星1号集合</v>
      </c>
      <c r="F2016" s="4">
        <v>0</v>
      </c>
      <c r="G2016" s="4">
        <v>14145</v>
      </c>
      <c r="H2016" s="4">
        <v>0</v>
      </c>
      <c r="I2016" s="4">
        <v>14145.48</v>
      </c>
      <c r="J2016" s="4">
        <v>39489.3</v>
      </c>
      <c r="K2016" s="4">
        <v>0</v>
      </c>
    </row>
    <row r="2017" spans="1:11">
      <c r="A2017" s="4" t="str">
        <f t="shared" si="1286"/>
        <v>20210901</v>
      </c>
      <c r="B2017" s="4" t="str">
        <f t="shared" si="1287"/>
        <v>20210901</v>
      </c>
      <c r="C2017" s="4" t="str">
        <f>"证券买入"</f>
        <v>证券买入</v>
      </c>
      <c r="D2017" s="4" t="str">
        <f>"000601"</f>
        <v>000601</v>
      </c>
      <c r="E2017" s="4" t="str">
        <f>"韶能股份"</f>
        <v>韶能股份</v>
      </c>
      <c r="F2017" s="4">
        <v>4.84</v>
      </c>
      <c r="G2017" s="4">
        <v>3000</v>
      </c>
      <c r="H2017" s="4">
        <v>14520</v>
      </c>
      <c r="I2017" s="4">
        <v>-14525</v>
      </c>
      <c r="J2017" s="4">
        <v>24964.3</v>
      </c>
      <c r="K2017" s="4">
        <v>4700</v>
      </c>
    </row>
    <row r="2018" spans="1:11">
      <c r="A2018" s="4" t="str">
        <f t="shared" si="1286"/>
        <v>20210901</v>
      </c>
      <c r="B2018" s="4" t="str">
        <f>"20210830"</f>
        <v>20210830</v>
      </c>
      <c r="C2018" s="4" t="str">
        <f>"港股通股票买入"</f>
        <v>港股通股票买入</v>
      </c>
      <c r="D2018" s="4" t="str">
        <f>"01099"</f>
        <v>01099</v>
      </c>
      <c r="E2018" s="4" t="str">
        <f>"国药控股"</f>
        <v>国药控股</v>
      </c>
      <c r="F2018" s="4">
        <v>15.94</v>
      </c>
      <c r="G2018" s="4">
        <v>800</v>
      </c>
      <c r="H2018" s="4">
        <v>-12774.06</v>
      </c>
      <c r="I2018" s="4">
        <v>19.16</v>
      </c>
      <c r="J2018" s="4">
        <v>12190.24</v>
      </c>
      <c r="K2018" s="4">
        <v>2000</v>
      </c>
    </row>
    <row r="2019" spans="1:11">
      <c r="A2019" s="4" t="str">
        <f t="shared" si="1286"/>
        <v>20210901</v>
      </c>
      <c r="B2019" s="4" t="str">
        <f t="shared" si="1287"/>
        <v>20210901</v>
      </c>
      <c r="C2019" s="4" t="str">
        <f t="shared" ref="C2019:C2024" si="1288">"港股通组合费"</f>
        <v>港股通组合费</v>
      </c>
      <c r="D2019" s="4" t="str">
        <f t="shared" ref="D2019:D2024" si="1289">""</f>
        <v/>
      </c>
      <c r="E2019" s="4" t="str">
        <f t="shared" ref="E2019:E2024" si="1290">""</f>
        <v/>
      </c>
      <c r="F2019" s="4">
        <v>0</v>
      </c>
      <c r="G2019" s="4">
        <v>0</v>
      </c>
      <c r="H2019" s="4">
        <v>-0.04</v>
      </c>
      <c r="I2019" s="4">
        <v>-0.04</v>
      </c>
      <c r="J2019" s="4">
        <v>12190.2</v>
      </c>
      <c r="K2019" s="4">
        <v>0</v>
      </c>
    </row>
    <row r="2020" spans="1:11">
      <c r="A2020" s="4" t="str">
        <f t="shared" ref="A2020:A2022" si="1291">"20210902"</f>
        <v>20210902</v>
      </c>
      <c r="B2020" s="4" t="str">
        <f>"20210902"</f>
        <v>20210902</v>
      </c>
      <c r="C2020" s="4" t="str">
        <f>"基金申购拨出"</f>
        <v>基金申购拨出</v>
      </c>
      <c r="D2020" s="4" t="str">
        <f t="shared" ref="D2020:D2025" si="1292">"AA0007"</f>
        <v>AA0007</v>
      </c>
      <c r="E2020" s="4" t="str">
        <f t="shared" ref="E2020:E2025" si="1293">"银河水星1号集合"</f>
        <v>银河水星1号集合</v>
      </c>
      <c r="F2020" s="4">
        <v>0</v>
      </c>
      <c r="G2020" s="4">
        <v>0</v>
      </c>
      <c r="H2020" s="4">
        <v>0</v>
      </c>
      <c r="I2020" s="4">
        <v>-13044.05</v>
      </c>
      <c r="J2020" s="4">
        <v>-853.85</v>
      </c>
      <c r="K2020" s="4">
        <v>0</v>
      </c>
    </row>
    <row r="2021" spans="1:11">
      <c r="A2021" s="4" t="str">
        <f t="shared" si="1291"/>
        <v>20210902</v>
      </c>
      <c r="B2021" s="4" t="str">
        <f>"20210831"</f>
        <v>20210831</v>
      </c>
      <c r="C2021" s="4" t="str">
        <f>"港股通股票卖出"</f>
        <v>港股通股票卖出</v>
      </c>
      <c r="D2021" s="4" t="str">
        <f>"01099"</f>
        <v>01099</v>
      </c>
      <c r="E2021" s="4" t="str">
        <f>"国药控股"</f>
        <v>国药控股</v>
      </c>
      <c r="F2021" s="4">
        <v>16.34</v>
      </c>
      <c r="G2021" s="4">
        <v>800</v>
      </c>
      <c r="H2021" s="4">
        <v>13044.09</v>
      </c>
      <c r="I2021" s="4">
        <v>19.66</v>
      </c>
      <c r="J2021" s="4">
        <v>12190.24</v>
      </c>
      <c r="K2021" s="4">
        <v>1200</v>
      </c>
    </row>
    <row r="2022" spans="1:11">
      <c r="A2022" s="4" t="str">
        <f t="shared" si="1291"/>
        <v>20210902</v>
      </c>
      <c r="B2022" s="4" t="str">
        <f>"20210902"</f>
        <v>20210902</v>
      </c>
      <c r="C2022" s="4" t="str">
        <f t="shared" si="1288"/>
        <v>港股通组合费</v>
      </c>
      <c r="D2022" s="4" t="str">
        <f t="shared" si="1289"/>
        <v/>
      </c>
      <c r="E2022" s="4" t="str">
        <f t="shared" si="1290"/>
        <v/>
      </c>
      <c r="F2022" s="4">
        <v>0</v>
      </c>
      <c r="G2022" s="4">
        <v>0</v>
      </c>
      <c r="H2022" s="4">
        <v>-0.05</v>
      </c>
      <c r="I2022" s="4">
        <v>-0.05</v>
      </c>
      <c r="J2022" s="4">
        <v>12190.19</v>
      </c>
      <c r="K2022" s="4">
        <v>0</v>
      </c>
    </row>
    <row r="2023" spans="1:11">
      <c r="A2023" s="4" t="str">
        <f>"20210903"</f>
        <v>20210903</v>
      </c>
      <c r="B2023" s="4" t="str">
        <f>"20210903"</f>
        <v>20210903</v>
      </c>
      <c r="C2023" s="4" t="str">
        <f>"基金赎回拨入"</f>
        <v>基金赎回拨入</v>
      </c>
      <c r="D2023" s="4" t="str">
        <f t="shared" si="1292"/>
        <v>AA0007</v>
      </c>
      <c r="E2023" s="4" t="str">
        <f t="shared" si="1293"/>
        <v>银河水星1号集合</v>
      </c>
      <c r="F2023" s="4">
        <v>0</v>
      </c>
      <c r="G2023" s="4">
        <v>0</v>
      </c>
      <c r="H2023" s="4">
        <v>0</v>
      </c>
      <c r="I2023" s="4">
        <v>0.05</v>
      </c>
      <c r="J2023" s="4">
        <v>12190.24</v>
      </c>
      <c r="K2023" s="4">
        <v>0</v>
      </c>
    </row>
    <row r="2024" spans="1:11">
      <c r="A2024" s="4" t="str">
        <f>"20210903"</f>
        <v>20210903</v>
      </c>
      <c r="B2024" s="4" t="str">
        <f>"20210903"</f>
        <v>20210903</v>
      </c>
      <c r="C2024" s="4" t="str">
        <f t="shared" si="1288"/>
        <v>港股通组合费</v>
      </c>
      <c r="D2024" s="4" t="str">
        <f t="shared" si="1289"/>
        <v/>
      </c>
      <c r="E2024" s="4" t="str">
        <f t="shared" si="1290"/>
        <v/>
      </c>
      <c r="F2024" s="4">
        <v>0</v>
      </c>
      <c r="G2024" s="4">
        <v>0</v>
      </c>
      <c r="H2024" s="4">
        <v>-0.05</v>
      </c>
      <c r="I2024" s="4">
        <v>-0.05</v>
      </c>
      <c r="J2024" s="4">
        <v>12190.19</v>
      </c>
      <c r="K2024" s="4">
        <v>0</v>
      </c>
    </row>
    <row r="2025" spans="1:11">
      <c r="A2025" s="4" t="str">
        <f>"20210906"</f>
        <v>20210906</v>
      </c>
      <c r="B2025" s="4" t="str">
        <f>"20210906"</f>
        <v>20210906</v>
      </c>
      <c r="C2025" s="4" t="str">
        <f>"基金赎回拨入"</f>
        <v>基金赎回拨入</v>
      </c>
      <c r="D2025" s="4" t="str">
        <f t="shared" si="1292"/>
        <v>AA0007</v>
      </c>
      <c r="E2025" s="4" t="str">
        <f t="shared" si="1293"/>
        <v>银河水星1号集合</v>
      </c>
      <c r="F2025" s="4">
        <v>0</v>
      </c>
      <c r="G2025" s="4">
        <v>0</v>
      </c>
      <c r="H2025" s="4">
        <v>0</v>
      </c>
      <c r="I2025" s="4">
        <v>0.05</v>
      </c>
      <c r="J2025" s="4">
        <v>12190.24</v>
      </c>
      <c r="K2025" s="4">
        <v>0</v>
      </c>
    </row>
    <row r="2026" spans="1:11">
      <c r="A2026" s="4" t="str">
        <f>"20210906"</f>
        <v>20210906</v>
      </c>
      <c r="B2026" s="4" t="str">
        <f>"20210906"</f>
        <v>20210906</v>
      </c>
      <c r="C2026" s="4" t="str">
        <f t="shared" ref="C2026:C2031" si="1294">"港股通组合费"</f>
        <v>港股通组合费</v>
      </c>
      <c r="D2026" s="4" t="str">
        <f t="shared" ref="D2026:D2031" si="1295">""</f>
        <v/>
      </c>
      <c r="E2026" s="4" t="str">
        <f t="shared" ref="E2026:E2031" si="1296">""</f>
        <v/>
      </c>
      <c r="F2026" s="4">
        <v>0</v>
      </c>
      <c r="G2026" s="4">
        <v>0</v>
      </c>
      <c r="H2026" s="4">
        <v>-0.15</v>
      </c>
      <c r="I2026" s="4">
        <v>-0.15</v>
      </c>
      <c r="J2026" s="4">
        <v>12190.09</v>
      </c>
      <c r="K2026" s="4">
        <v>0</v>
      </c>
    </row>
    <row r="2027" spans="1:11">
      <c r="A2027" s="4" t="str">
        <f t="shared" ref="A2027:A2029" si="1297">"20210907"</f>
        <v>20210907</v>
      </c>
      <c r="B2027" s="4" t="str">
        <f t="shared" ref="B2027:B2029" si="1298">"20210907"</f>
        <v>20210907</v>
      </c>
      <c r="C2027" s="4" t="str">
        <f>"基金申购拨出"</f>
        <v>基金申购拨出</v>
      </c>
      <c r="D2027" s="4" t="str">
        <f t="shared" ref="D2027:D2032" si="1299">"AA0007"</f>
        <v>AA0007</v>
      </c>
      <c r="E2027" s="4" t="str">
        <f t="shared" ref="E2027:E2032" si="1300">"银河水星1号集合"</f>
        <v>银河水星1号集合</v>
      </c>
      <c r="F2027" s="4">
        <v>0</v>
      </c>
      <c r="G2027" s="4">
        <v>0</v>
      </c>
      <c r="H2027" s="4">
        <v>0</v>
      </c>
      <c r="I2027" s="4">
        <v>-15459.37</v>
      </c>
      <c r="J2027" s="4">
        <v>-3269.28</v>
      </c>
      <c r="K2027" s="4">
        <v>0</v>
      </c>
    </row>
    <row r="2028" spans="1:11">
      <c r="A2028" s="4" t="str">
        <f t="shared" si="1297"/>
        <v>20210907</v>
      </c>
      <c r="B2028" s="4" t="str">
        <f t="shared" si="1298"/>
        <v>20210907</v>
      </c>
      <c r="C2028" s="4" t="str">
        <f>"证券卖出"</f>
        <v>证券卖出</v>
      </c>
      <c r="D2028" s="4" t="str">
        <f>"000601"</f>
        <v>000601</v>
      </c>
      <c r="E2028" s="4" t="str">
        <f>"韶能股份"</f>
        <v>韶能股份</v>
      </c>
      <c r="F2028" s="4">
        <v>5.16</v>
      </c>
      <c r="G2028" s="4">
        <v>3000</v>
      </c>
      <c r="H2028" s="4">
        <v>15480</v>
      </c>
      <c r="I2028" s="4">
        <v>15459.52</v>
      </c>
      <c r="J2028" s="4">
        <v>12190.24</v>
      </c>
      <c r="K2028" s="4">
        <v>1700</v>
      </c>
    </row>
    <row r="2029" spans="1:11">
      <c r="A2029" s="4" t="str">
        <f t="shared" si="1297"/>
        <v>20210907</v>
      </c>
      <c r="B2029" s="4" t="str">
        <f t="shared" si="1298"/>
        <v>20210907</v>
      </c>
      <c r="C2029" s="4" t="str">
        <f t="shared" si="1294"/>
        <v>港股通组合费</v>
      </c>
      <c r="D2029" s="4" t="str">
        <f t="shared" si="1295"/>
        <v/>
      </c>
      <c r="E2029" s="4" t="str">
        <f t="shared" si="1296"/>
        <v/>
      </c>
      <c r="F2029" s="4">
        <v>0</v>
      </c>
      <c r="G2029" s="4">
        <v>0</v>
      </c>
      <c r="H2029" s="4">
        <v>-0.05</v>
      </c>
      <c r="I2029" s="4">
        <v>-0.05</v>
      </c>
      <c r="J2029" s="4">
        <v>12190.19</v>
      </c>
      <c r="K2029" s="4">
        <v>0</v>
      </c>
    </row>
    <row r="2030" spans="1:11">
      <c r="A2030" s="4" t="str">
        <f>"20210908"</f>
        <v>20210908</v>
      </c>
      <c r="B2030" s="4" t="str">
        <f>"20210908"</f>
        <v>20210908</v>
      </c>
      <c r="C2030" s="4" t="str">
        <f>"基金申购拨出"</f>
        <v>基金申购拨出</v>
      </c>
      <c r="D2030" s="4" t="str">
        <f t="shared" si="1299"/>
        <v>AA0007</v>
      </c>
      <c r="E2030" s="4" t="str">
        <f t="shared" si="1300"/>
        <v>银河水星1号集合</v>
      </c>
      <c r="F2030" s="4">
        <v>0</v>
      </c>
      <c r="G2030" s="4">
        <v>0</v>
      </c>
      <c r="H2030" s="4">
        <v>0</v>
      </c>
      <c r="I2030" s="4">
        <v>-12185.19</v>
      </c>
      <c r="J2030" s="4">
        <v>5</v>
      </c>
      <c r="K2030" s="4">
        <v>0</v>
      </c>
    </row>
    <row r="2031" spans="1:11">
      <c r="A2031" s="4" t="str">
        <f>"20210908"</f>
        <v>20210908</v>
      </c>
      <c r="B2031" s="4" t="str">
        <f>"20210908"</f>
        <v>20210908</v>
      </c>
      <c r="C2031" s="4" t="str">
        <f t="shared" si="1294"/>
        <v>港股通组合费</v>
      </c>
      <c r="D2031" s="4" t="str">
        <f t="shared" si="1295"/>
        <v/>
      </c>
      <c r="E2031" s="4" t="str">
        <f t="shared" si="1296"/>
        <v/>
      </c>
      <c r="F2031" s="4">
        <v>0</v>
      </c>
      <c r="G2031" s="4">
        <v>0</v>
      </c>
      <c r="H2031" s="4">
        <v>-0.05</v>
      </c>
      <c r="I2031" s="4">
        <v>-0.05</v>
      </c>
      <c r="J2031" s="4">
        <v>4.95</v>
      </c>
      <c r="K2031" s="4">
        <v>0</v>
      </c>
    </row>
    <row r="2032" spans="1:11">
      <c r="A2032" s="4" t="str">
        <f>"20210909"</f>
        <v>20210909</v>
      </c>
      <c r="B2032" s="4" t="str">
        <f>"20210909"</f>
        <v>20210909</v>
      </c>
      <c r="C2032" s="4" t="str">
        <f t="shared" ref="C2032:C2036" si="1301">"基金赎回拨入"</f>
        <v>基金赎回拨入</v>
      </c>
      <c r="D2032" s="4" t="str">
        <f t="shared" si="1299"/>
        <v>AA0007</v>
      </c>
      <c r="E2032" s="4" t="str">
        <f t="shared" si="1300"/>
        <v>银河水星1号集合</v>
      </c>
      <c r="F2032" s="4">
        <v>0</v>
      </c>
      <c r="G2032" s="4">
        <v>0</v>
      </c>
      <c r="H2032" s="4">
        <v>0</v>
      </c>
      <c r="I2032" s="4">
        <v>0.05</v>
      </c>
      <c r="J2032" s="4">
        <v>5</v>
      </c>
      <c r="K2032" s="4">
        <v>0</v>
      </c>
    </row>
    <row r="2033" spans="1:11">
      <c r="A2033" s="4" t="str">
        <f>"20210909"</f>
        <v>20210909</v>
      </c>
      <c r="B2033" s="4" t="str">
        <f>"20210909"</f>
        <v>20210909</v>
      </c>
      <c r="C2033" s="4" t="str">
        <f t="shared" ref="C2033:C2038" si="1302">"港股通组合费"</f>
        <v>港股通组合费</v>
      </c>
      <c r="D2033" s="4" t="str">
        <f t="shared" ref="D2033:D2038" si="1303">""</f>
        <v/>
      </c>
      <c r="E2033" s="4" t="str">
        <f t="shared" ref="E2033:E2038" si="1304">""</f>
        <v/>
      </c>
      <c r="F2033" s="4">
        <v>0</v>
      </c>
      <c r="G2033" s="4">
        <v>0</v>
      </c>
      <c r="H2033" s="4">
        <v>-0.05</v>
      </c>
      <c r="I2033" s="4">
        <v>-0.05</v>
      </c>
      <c r="J2033" s="4">
        <v>4.95</v>
      </c>
      <c r="K2033" s="4">
        <v>0</v>
      </c>
    </row>
    <row r="2034" spans="1:11">
      <c r="A2034" s="4" t="str">
        <f>"20210910"</f>
        <v>20210910</v>
      </c>
      <c r="B2034" s="4" t="str">
        <f>"20210910"</f>
        <v>20210910</v>
      </c>
      <c r="C2034" s="4" t="str">
        <f t="shared" si="1301"/>
        <v>基金赎回拨入</v>
      </c>
      <c r="D2034" s="4" t="str">
        <f t="shared" ref="D2034:D2039" si="1305">"AA0007"</f>
        <v>AA0007</v>
      </c>
      <c r="E2034" s="4" t="str">
        <f t="shared" ref="E2034:E2039" si="1306">"银河水星1号集合"</f>
        <v>银河水星1号集合</v>
      </c>
      <c r="F2034" s="4">
        <v>0</v>
      </c>
      <c r="G2034" s="4">
        <v>0</v>
      </c>
      <c r="H2034" s="4">
        <v>0</v>
      </c>
      <c r="I2034" s="4">
        <v>0.05</v>
      </c>
      <c r="J2034" s="4">
        <v>5</v>
      </c>
      <c r="K2034" s="4">
        <v>0</v>
      </c>
    </row>
    <row r="2035" spans="1:11">
      <c r="A2035" s="4" t="str">
        <f>"20210910"</f>
        <v>20210910</v>
      </c>
      <c r="B2035" s="4" t="str">
        <f>"20210910"</f>
        <v>20210910</v>
      </c>
      <c r="C2035" s="4" t="str">
        <f t="shared" si="1302"/>
        <v>港股通组合费</v>
      </c>
      <c r="D2035" s="4" t="str">
        <f t="shared" si="1303"/>
        <v/>
      </c>
      <c r="E2035" s="4" t="str">
        <f t="shared" si="1304"/>
        <v/>
      </c>
      <c r="F2035" s="4">
        <v>0</v>
      </c>
      <c r="G2035" s="4">
        <v>0</v>
      </c>
      <c r="H2035" s="4">
        <v>-0.05</v>
      </c>
      <c r="I2035" s="4">
        <v>-0.05</v>
      </c>
      <c r="J2035" s="4">
        <v>4.95</v>
      </c>
      <c r="K2035" s="4">
        <v>0</v>
      </c>
    </row>
    <row r="2036" spans="1:11">
      <c r="A2036" s="4" t="str">
        <f t="shared" ref="A2036:A2038" si="1307">"20210913"</f>
        <v>20210913</v>
      </c>
      <c r="B2036" s="4" t="str">
        <f t="shared" ref="B2036:B2038" si="1308">"20210913"</f>
        <v>20210913</v>
      </c>
      <c r="C2036" s="4" t="str">
        <f t="shared" si="1301"/>
        <v>基金赎回拨入</v>
      </c>
      <c r="D2036" s="4" t="str">
        <f t="shared" si="1305"/>
        <v>AA0007</v>
      </c>
      <c r="E2036" s="4" t="str">
        <f t="shared" si="1306"/>
        <v>银河水星1号集合</v>
      </c>
      <c r="F2036" s="4">
        <v>0</v>
      </c>
      <c r="G2036" s="4">
        <v>25050</v>
      </c>
      <c r="H2036" s="4">
        <v>0</v>
      </c>
      <c r="I2036" s="4">
        <v>25050.05</v>
      </c>
      <c r="J2036" s="4">
        <v>25055</v>
      </c>
      <c r="K2036" s="4">
        <v>0</v>
      </c>
    </row>
    <row r="2037" spans="1:11">
      <c r="A2037" s="4" t="str">
        <f t="shared" si="1307"/>
        <v>20210913</v>
      </c>
      <c r="B2037" s="4" t="str">
        <f t="shared" si="1308"/>
        <v>20210913</v>
      </c>
      <c r="C2037" s="4" t="str">
        <f>"证券买入"</f>
        <v>证券买入</v>
      </c>
      <c r="D2037" s="4" t="str">
        <f>"159781"</f>
        <v>159781</v>
      </c>
      <c r="E2037" s="4" t="str">
        <f>"科创创业"</f>
        <v>科创创业</v>
      </c>
      <c r="F2037" s="4">
        <v>0.839</v>
      </c>
      <c r="G2037" s="4">
        <v>20000</v>
      </c>
      <c r="H2037" s="4">
        <v>16780</v>
      </c>
      <c r="I2037" s="4">
        <v>-16785</v>
      </c>
      <c r="J2037" s="4">
        <v>8270</v>
      </c>
      <c r="K2037" s="4">
        <v>20000</v>
      </c>
    </row>
    <row r="2038" spans="1:11">
      <c r="A2038" s="4" t="str">
        <f t="shared" si="1307"/>
        <v>20210913</v>
      </c>
      <c r="B2038" s="4" t="str">
        <f t="shared" si="1308"/>
        <v>20210913</v>
      </c>
      <c r="C2038" s="4" t="str">
        <f t="shared" si="1302"/>
        <v>港股通组合费</v>
      </c>
      <c r="D2038" s="4" t="str">
        <f t="shared" si="1303"/>
        <v/>
      </c>
      <c r="E2038" s="4" t="str">
        <f t="shared" si="1304"/>
        <v/>
      </c>
      <c r="F2038" s="4">
        <v>0</v>
      </c>
      <c r="G2038" s="4">
        <v>0</v>
      </c>
      <c r="H2038" s="4">
        <v>-0.15</v>
      </c>
      <c r="I2038" s="4">
        <v>-0.15</v>
      </c>
      <c r="J2038" s="4">
        <v>8269.85</v>
      </c>
      <c r="K2038" s="4">
        <v>0</v>
      </c>
    </row>
    <row r="2039" spans="1:11">
      <c r="A2039" s="4" t="str">
        <f t="shared" ref="A2039:A2041" si="1309">"20210914"</f>
        <v>20210914</v>
      </c>
      <c r="B2039" s="4" t="str">
        <f t="shared" ref="B2039:B2041" si="1310">"20210914"</f>
        <v>20210914</v>
      </c>
      <c r="C2039" s="4" t="str">
        <f>"基金申购拨出"</f>
        <v>基金申购拨出</v>
      </c>
      <c r="D2039" s="4" t="str">
        <f t="shared" si="1305"/>
        <v>AA0007</v>
      </c>
      <c r="E2039" s="4" t="str">
        <f t="shared" si="1306"/>
        <v>银河水星1号集合</v>
      </c>
      <c r="F2039" s="4">
        <v>0</v>
      </c>
      <c r="G2039" s="4">
        <v>0</v>
      </c>
      <c r="H2039" s="4">
        <v>0</v>
      </c>
      <c r="I2039" s="4">
        <v>-8384.85</v>
      </c>
      <c r="J2039" s="4">
        <v>-115</v>
      </c>
      <c r="K2039" s="4">
        <v>0</v>
      </c>
    </row>
    <row r="2040" spans="1:11">
      <c r="A2040" s="4" t="str">
        <f t="shared" si="1309"/>
        <v>20210914</v>
      </c>
      <c r="B2040" s="4" t="str">
        <f t="shared" si="1310"/>
        <v>20210914</v>
      </c>
      <c r="C2040" s="4" t="str">
        <f>"证券卖出"</f>
        <v>证券卖出</v>
      </c>
      <c r="D2040" s="4" t="str">
        <f>"159781"</f>
        <v>159781</v>
      </c>
      <c r="E2040" s="4" t="str">
        <f>"科创创业"</f>
        <v>科创创业</v>
      </c>
      <c r="F2040" s="4">
        <v>0.852</v>
      </c>
      <c r="G2040" s="4">
        <v>10000</v>
      </c>
      <c r="H2040" s="4">
        <v>8520</v>
      </c>
      <c r="I2040" s="4">
        <v>8515</v>
      </c>
      <c r="J2040" s="4">
        <v>8400</v>
      </c>
      <c r="K2040" s="4">
        <v>10000</v>
      </c>
    </row>
    <row r="2041" spans="1:11">
      <c r="A2041" s="4" t="str">
        <f t="shared" si="1309"/>
        <v>20210914</v>
      </c>
      <c r="B2041" s="4" t="str">
        <f t="shared" si="1310"/>
        <v>20210914</v>
      </c>
      <c r="C2041" s="4" t="str">
        <f>"港股通组合费"</f>
        <v>港股通组合费</v>
      </c>
      <c r="D2041" s="4" t="str">
        <f>""</f>
        <v/>
      </c>
      <c r="E2041" s="4" t="str">
        <f>""</f>
        <v/>
      </c>
      <c r="F2041" s="4">
        <v>0</v>
      </c>
      <c r="G2041" s="4">
        <v>0</v>
      </c>
      <c r="H2041" s="4">
        <v>-0.05</v>
      </c>
      <c r="I2041" s="4">
        <v>-0.05</v>
      </c>
      <c r="J2041" s="4">
        <v>8399.95</v>
      </c>
      <c r="K2041" s="4">
        <v>0</v>
      </c>
    </row>
    <row r="2042" spans="1:11">
      <c r="A2042" s="4" t="str">
        <f t="shared" ref="A2042:A2044" si="1311">"20210915"</f>
        <v>20210915</v>
      </c>
      <c r="B2042" s="4" t="str">
        <f t="shared" ref="B2042:B2044" si="1312">"20210915"</f>
        <v>20210915</v>
      </c>
      <c r="C2042" s="4" t="str">
        <f>"基金赎回拨入"</f>
        <v>基金赎回拨入</v>
      </c>
      <c r="D2042" s="4" t="str">
        <f>"AA0007"</f>
        <v>AA0007</v>
      </c>
      <c r="E2042" s="4" t="str">
        <f>"银河水星1号集合"</f>
        <v>银河水星1号集合</v>
      </c>
      <c r="F2042" s="4">
        <v>0</v>
      </c>
      <c r="G2042" s="4">
        <v>8265</v>
      </c>
      <c r="H2042" s="4">
        <v>0</v>
      </c>
      <c r="I2042" s="4">
        <v>8265.05</v>
      </c>
      <c r="J2042" s="4">
        <v>16665</v>
      </c>
      <c r="K2042" s="4">
        <v>0</v>
      </c>
    </row>
    <row r="2043" spans="1:11">
      <c r="A2043" s="4" t="str">
        <f t="shared" si="1311"/>
        <v>20210915</v>
      </c>
      <c r="B2043" s="4" t="str">
        <f t="shared" si="1312"/>
        <v>20210915</v>
      </c>
      <c r="C2043" s="4" t="str">
        <f>"证券买入"</f>
        <v>证券买入</v>
      </c>
      <c r="D2043" s="4" t="str">
        <f>"159781"</f>
        <v>159781</v>
      </c>
      <c r="E2043" s="4" t="str">
        <f>"科创创业"</f>
        <v>科创创业</v>
      </c>
      <c r="F2043" s="4">
        <v>0.839</v>
      </c>
      <c r="G2043" s="4">
        <v>10000</v>
      </c>
      <c r="H2043" s="4">
        <v>8390</v>
      </c>
      <c r="I2043" s="4">
        <v>-8395</v>
      </c>
      <c r="J2043" s="4">
        <v>8270</v>
      </c>
      <c r="K2043" s="4">
        <v>20000</v>
      </c>
    </row>
    <row r="2044" spans="1:11">
      <c r="A2044" s="4" t="str">
        <f t="shared" si="1311"/>
        <v>20210915</v>
      </c>
      <c r="B2044" s="4" t="str">
        <f t="shared" si="1312"/>
        <v>20210915</v>
      </c>
      <c r="C2044" s="4" t="str">
        <f>"港股通组合费"</f>
        <v>港股通组合费</v>
      </c>
      <c r="D2044" s="4" t="str">
        <f>""</f>
        <v/>
      </c>
      <c r="E2044" s="4" t="str">
        <f>""</f>
        <v/>
      </c>
      <c r="F2044" s="4">
        <v>0</v>
      </c>
      <c r="G2044" s="4">
        <v>0</v>
      </c>
      <c r="H2044" s="4">
        <v>-0.05</v>
      </c>
      <c r="I2044" s="4">
        <v>-0.05</v>
      </c>
      <c r="J2044" s="4">
        <v>8269.95</v>
      </c>
      <c r="K2044" s="4">
        <v>0</v>
      </c>
    </row>
    <row r="2045" spans="1:11">
      <c r="A2045" s="4" t="str">
        <f t="shared" ref="A2045:A2047" si="1313">"20210916"</f>
        <v>20210916</v>
      </c>
      <c r="B2045" s="4" t="str">
        <f t="shared" ref="B2045:B2047" si="1314">"20210916"</f>
        <v>20210916</v>
      </c>
      <c r="C2045" s="4" t="str">
        <f>"基金赎回拨入"</f>
        <v>基金赎回拨入</v>
      </c>
      <c r="D2045" s="4" t="str">
        <f>"AA0007"</f>
        <v>AA0007</v>
      </c>
      <c r="E2045" s="4" t="str">
        <f>"银河水星1号集合"</f>
        <v>银河水星1号集合</v>
      </c>
      <c r="F2045" s="4">
        <v>0</v>
      </c>
      <c r="G2045" s="4">
        <v>8145</v>
      </c>
      <c r="H2045" s="4">
        <v>0</v>
      </c>
      <c r="I2045" s="4">
        <v>8145.05</v>
      </c>
      <c r="J2045" s="4">
        <v>16415</v>
      </c>
      <c r="K2045" s="4">
        <v>0</v>
      </c>
    </row>
    <row r="2046" spans="1:11">
      <c r="A2046" s="4" t="str">
        <f t="shared" si="1313"/>
        <v>20210916</v>
      </c>
      <c r="B2046" s="4" t="str">
        <f t="shared" si="1314"/>
        <v>20210916</v>
      </c>
      <c r="C2046" s="4" t="str">
        <f>"证券买入"</f>
        <v>证券买入</v>
      </c>
      <c r="D2046" s="4" t="str">
        <f>"159781"</f>
        <v>159781</v>
      </c>
      <c r="E2046" s="4" t="str">
        <f>"科创创业"</f>
        <v>科创创业</v>
      </c>
      <c r="F2046" s="4">
        <v>0.826</v>
      </c>
      <c r="G2046" s="4">
        <v>10000</v>
      </c>
      <c r="H2046" s="4">
        <v>8260</v>
      </c>
      <c r="I2046" s="4">
        <v>-8265</v>
      </c>
      <c r="J2046" s="4">
        <v>8150</v>
      </c>
      <c r="K2046" s="4">
        <v>30000</v>
      </c>
    </row>
    <row r="2047" spans="1:11">
      <c r="A2047" s="4" t="str">
        <f t="shared" si="1313"/>
        <v>20210916</v>
      </c>
      <c r="B2047" s="4" t="str">
        <f t="shared" si="1314"/>
        <v>20210916</v>
      </c>
      <c r="C2047" s="4" t="str">
        <f>"港股通组合费"</f>
        <v>港股通组合费</v>
      </c>
      <c r="D2047" s="4" t="str">
        <f>""</f>
        <v/>
      </c>
      <c r="E2047" s="4" t="str">
        <f>""</f>
        <v/>
      </c>
      <c r="F2047" s="4">
        <v>0</v>
      </c>
      <c r="G2047" s="4">
        <v>0</v>
      </c>
      <c r="H2047" s="4">
        <v>-0.05</v>
      </c>
      <c r="I2047" s="4">
        <v>-0.05</v>
      </c>
      <c r="J2047" s="4">
        <v>8149.95</v>
      </c>
      <c r="K2047" s="4">
        <v>0</v>
      </c>
    </row>
    <row r="2048" spans="1:11">
      <c r="A2048" s="4" t="str">
        <f t="shared" ref="A2048:A2051" si="1315">"20210917"</f>
        <v>20210917</v>
      </c>
      <c r="B2048" s="4" t="str">
        <f t="shared" ref="B2048:B2051" si="1316">"20210917"</f>
        <v>20210917</v>
      </c>
      <c r="C2048" s="4" t="str">
        <f>"利息归本"</f>
        <v>利息归本</v>
      </c>
      <c r="D2048" s="4"/>
      <c r="E2048" s="4"/>
      <c r="F2048" s="4">
        <v>0</v>
      </c>
      <c r="G2048" s="4">
        <v>0</v>
      </c>
      <c r="H2048" s="4">
        <v>0</v>
      </c>
      <c r="I2048" s="4">
        <v>5.58</v>
      </c>
      <c r="J2048" s="4">
        <v>8155.53</v>
      </c>
      <c r="K2048" s="4">
        <v>0</v>
      </c>
    </row>
    <row r="2049" spans="1:11">
      <c r="A2049" s="4" t="str">
        <f t="shared" si="1315"/>
        <v>20210917</v>
      </c>
      <c r="B2049" s="4" t="str">
        <f t="shared" si="1316"/>
        <v>20210917</v>
      </c>
      <c r="C2049" s="4" t="str">
        <f>"基金申购拨出"</f>
        <v>基金申购拨出</v>
      </c>
      <c r="D2049" s="4" t="str">
        <f t="shared" ref="D2049:D2053" si="1317">"AA0007"</f>
        <v>AA0007</v>
      </c>
      <c r="E2049" s="4" t="str">
        <f t="shared" ref="E2049:E2053" si="1318">"银河水星1号集合"</f>
        <v>银河水星1号集合</v>
      </c>
      <c r="F2049" s="4">
        <v>0</v>
      </c>
      <c r="G2049" s="4">
        <v>0</v>
      </c>
      <c r="H2049" s="4">
        <v>0</v>
      </c>
      <c r="I2049" s="4">
        <v>-8264.95</v>
      </c>
      <c r="J2049" s="4">
        <v>-109.42</v>
      </c>
      <c r="K2049" s="4">
        <v>0</v>
      </c>
    </row>
    <row r="2050" spans="1:11">
      <c r="A2050" s="4" t="str">
        <f t="shared" si="1315"/>
        <v>20210917</v>
      </c>
      <c r="B2050" s="4" t="str">
        <f t="shared" si="1316"/>
        <v>20210917</v>
      </c>
      <c r="C2050" s="4" t="str">
        <f>"证券卖出"</f>
        <v>证券卖出</v>
      </c>
      <c r="D2050" s="4" t="str">
        <f>"159781"</f>
        <v>159781</v>
      </c>
      <c r="E2050" s="4" t="str">
        <f>"科创创业"</f>
        <v>科创创业</v>
      </c>
      <c r="F2050" s="4">
        <v>0.838</v>
      </c>
      <c r="G2050" s="4">
        <v>10000</v>
      </c>
      <c r="H2050" s="4">
        <v>8380</v>
      </c>
      <c r="I2050" s="4">
        <v>8375</v>
      </c>
      <c r="J2050" s="4">
        <v>8265.58</v>
      </c>
      <c r="K2050" s="4">
        <v>20000</v>
      </c>
    </row>
    <row r="2051" spans="1:11">
      <c r="A2051" s="4" t="str">
        <f t="shared" si="1315"/>
        <v>20210917</v>
      </c>
      <c r="B2051" s="4" t="str">
        <f t="shared" si="1316"/>
        <v>20210917</v>
      </c>
      <c r="C2051" s="4" t="str">
        <f t="shared" ref="C2051:C2060" si="1319">"港股通组合费"</f>
        <v>港股通组合费</v>
      </c>
      <c r="D2051" s="4" t="str">
        <f t="shared" ref="D2051:D2060" si="1320">""</f>
        <v/>
      </c>
      <c r="E2051" s="4" t="str">
        <f t="shared" ref="E2051:E2060" si="1321">""</f>
        <v/>
      </c>
      <c r="F2051" s="4">
        <v>0</v>
      </c>
      <c r="G2051" s="4">
        <v>0</v>
      </c>
      <c r="H2051" s="4">
        <v>-0.05</v>
      </c>
      <c r="I2051" s="4">
        <v>-0.05</v>
      </c>
      <c r="J2051" s="4">
        <v>8265.53</v>
      </c>
      <c r="K2051" s="4">
        <v>0</v>
      </c>
    </row>
    <row r="2052" spans="1:11">
      <c r="A2052" s="4" t="str">
        <f t="shared" ref="A2052:A2055" si="1322">"20210923"</f>
        <v>20210923</v>
      </c>
      <c r="B2052" s="4" t="str">
        <f>"0"</f>
        <v>0</v>
      </c>
      <c r="C2052" s="4" t="str">
        <f>"基金红利拨入"</f>
        <v>基金红利拨入</v>
      </c>
      <c r="D2052" s="4" t="str">
        <f t="shared" si="1317"/>
        <v>AA0007</v>
      </c>
      <c r="E2052" s="4" t="str">
        <f t="shared" si="1318"/>
        <v>银河水星1号集合</v>
      </c>
      <c r="F2052" s="4">
        <v>0</v>
      </c>
      <c r="G2052" s="4">
        <v>0</v>
      </c>
      <c r="H2052" s="4">
        <v>146.86</v>
      </c>
      <c r="I2052" s="4">
        <v>146.86</v>
      </c>
      <c r="J2052" s="4">
        <v>8412.39</v>
      </c>
      <c r="K2052" s="4">
        <v>0</v>
      </c>
    </row>
    <row r="2053" spans="1:11">
      <c r="A2053" s="4" t="str">
        <f t="shared" si="1322"/>
        <v>20210923</v>
      </c>
      <c r="B2053" s="4" t="str">
        <f t="shared" ref="B2053:B2055" si="1323">"20210923"</f>
        <v>20210923</v>
      </c>
      <c r="C2053" s="4" t="str">
        <f>"基金申购拨出"</f>
        <v>基金申购拨出</v>
      </c>
      <c r="D2053" s="4" t="str">
        <f t="shared" si="1317"/>
        <v>AA0007</v>
      </c>
      <c r="E2053" s="4" t="str">
        <f t="shared" si="1318"/>
        <v>银河水星1号集合</v>
      </c>
      <c r="F2053" s="4">
        <v>0</v>
      </c>
      <c r="G2053" s="4">
        <v>0</v>
      </c>
      <c r="H2053" s="4">
        <v>0</v>
      </c>
      <c r="I2053" s="4">
        <v>-8380.53</v>
      </c>
      <c r="J2053" s="4">
        <v>31.86</v>
      </c>
      <c r="K2053" s="4">
        <v>0</v>
      </c>
    </row>
    <row r="2054" spans="1:11">
      <c r="A2054" s="4" t="str">
        <f t="shared" si="1322"/>
        <v>20210923</v>
      </c>
      <c r="B2054" s="4" t="str">
        <f t="shared" si="1323"/>
        <v>20210923</v>
      </c>
      <c r="C2054" s="4" t="str">
        <f>"证券卖出"</f>
        <v>证券卖出</v>
      </c>
      <c r="D2054" s="4" t="str">
        <f>"159781"</f>
        <v>159781</v>
      </c>
      <c r="E2054" s="4" t="str">
        <f>"科创创业"</f>
        <v>科创创业</v>
      </c>
      <c r="F2054" s="4">
        <v>0.851</v>
      </c>
      <c r="G2054" s="4">
        <v>10000</v>
      </c>
      <c r="H2054" s="4">
        <v>8510</v>
      </c>
      <c r="I2054" s="4">
        <v>8505</v>
      </c>
      <c r="J2054" s="4">
        <v>8536.86</v>
      </c>
      <c r="K2054" s="4">
        <v>10000</v>
      </c>
    </row>
    <row r="2055" spans="1:11">
      <c r="A2055" s="4" t="str">
        <f t="shared" si="1322"/>
        <v>20210923</v>
      </c>
      <c r="B2055" s="4" t="str">
        <f t="shared" si="1323"/>
        <v>20210923</v>
      </c>
      <c r="C2055" s="4" t="str">
        <f t="shared" si="1319"/>
        <v>港股通组合费</v>
      </c>
      <c r="D2055" s="4" t="str">
        <f t="shared" si="1320"/>
        <v/>
      </c>
      <c r="E2055" s="4" t="str">
        <f t="shared" si="1321"/>
        <v/>
      </c>
      <c r="F2055" s="4">
        <v>0</v>
      </c>
      <c r="G2055" s="4">
        <v>0</v>
      </c>
      <c r="H2055" s="4">
        <v>-0.3</v>
      </c>
      <c r="I2055" s="4">
        <v>-0.3</v>
      </c>
      <c r="J2055" s="4">
        <v>8536.56</v>
      </c>
      <c r="K2055" s="4">
        <v>0</v>
      </c>
    </row>
    <row r="2056" spans="1:11">
      <c r="A2056" s="4" t="str">
        <f>"20210924"</f>
        <v>20210924</v>
      </c>
      <c r="B2056" s="4" t="str">
        <f>"20210924"</f>
        <v>20210924</v>
      </c>
      <c r="C2056" s="4" t="str">
        <f t="shared" si="1319"/>
        <v>港股通组合费</v>
      </c>
      <c r="D2056" s="4" t="str">
        <f t="shared" si="1320"/>
        <v/>
      </c>
      <c r="E2056" s="4" t="str">
        <f t="shared" si="1321"/>
        <v/>
      </c>
      <c r="F2056" s="4">
        <v>0</v>
      </c>
      <c r="G2056" s="4">
        <v>0</v>
      </c>
      <c r="H2056" s="4">
        <v>-0.05</v>
      </c>
      <c r="I2056" s="4">
        <v>-0.05</v>
      </c>
      <c r="J2056" s="4">
        <v>8536.51</v>
      </c>
      <c r="K2056" s="4">
        <v>0</v>
      </c>
    </row>
    <row r="2057" spans="1:11">
      <c r="A2057" s="4" t="str">
        <f>"20210927"</f>
        <v>20210927</v>
      </c>
      <c r="B2057" s="4" t="str">
        <f>"20210927"</f>
        <v>20210927</v>
      </c>
      <c r="C2057" s="4" t="str">
        <f t="shared" si="1319"/>
        <v>港股通组合费</v>
      </c>
      <c r="D2057" s="4" t="str">
        <f t="shared" si="1320"/>
        <v/>
      </c>
      <c r="E2057" s="4" t="str">
        <f t="shared" si="1321"/>
        <v/>
      </c>
      <c r="F2057" s="4">
        <v>0</v>
      </c>
      <c r="G2057" s="4">
        <v>0</v>
      </c>
      <c r="H2057" s="4">
        <v>-0.15</v>
      </c>
      <c r="I2057" s="4">
        <v>-0.15</v>
      </c>
      <c r="J2057" s="4">
        <v>8536.36</v>
      </c>
      <c r="K2057" s="4">
        <v>0</v>
      </c>
    </row>
    <row r="2058" spans="1:11">
      <c r="A2058" s="4" t="str">
        <f>"20210928"</f>
        <v>20210928</v>
      </c>
      <c r="B2058" s="4" t="str">
        <f>"20210928"</f>
        <v>20210928</v>
      </c>
      <c r="C2058" s="4" t="str">
        <f t="shared" si="1319"/>
        <v>港股通组合费</v>
      </c>
      <c r="D2058" s="4" t="str">
        <f t="shared" si="1320"/>
        <v/>
      </c>
      <c r="E2058" s="4" t="str">
        <f t="shared" si="1321"/>
        <v/>
      </c>
      <c r="F2058" s="4">
        <v>0</v>
      </c>
      <c r="G2058" s="4">
        <v>0</v>
      </c>
      <c r="H2058" s="4">
        <v>-0.05</v>
      </c>
      <c r="I2058" s="4">
        <v>-0.05</v>
      </c>
      <c r="J2058" s="4">
        <v>8536.31</v>
      </c>
      <c r="K2058" s="4">
        <v>0</v>
      </c>
    </row>
    <row r="2059" spans="1:11">
      <c r="A2059" s="4" t="str">
        <f>"20210929"</f>
        <v>20210929</v>
      </c>
      <c r="B2059" s="4" t="str">
        <f>"20210929"</f>
        <v>20210929</v>
      </c>
      <c r="C2059" s="4" t="str">
        <f t="shared" si="1319"/>
        <v>港股通组合费</v>
      </c>
      <c r="D2059" s="4" t="str">
        <f t="shared" si="1320"/>
        <v/>
      </c>
      <c r="E2059" s="4" t="str">
        <f t="shared" si="1321"/>
        <v/>
      </c>
      <c r="F2059" s="4">
        <v>0</v>
      </c>
      <c r="G2059" s="4">
        <v>0</v>
      </c>
      <c r="H2059" s="4">
        <v>-0.05</v>
      </c>
      <c r="I2059" s="4">
        <v>-0.05</v>
      </c>
      <c r="J2059" s="4">
        <v>8536.26</v>
      </c>
      <c r="K2059" s="4">
        <v>0</v>
      </c>
    </row>
    <row r="2060" spans="1:11">
      <c r="A2060" s="4" t="str">
        <f>"20210930"</f>
        <v>20210930</v>
      </c>
      <c r="B2060" s="4" t="str">
        <f>"20210930"</f>
        <v>20210930</v>
      </c>
      <c r="C2060" s="4" t="str">
        <f t="shared" si="1319"/>
        <v>港股通组合费</v>
      </c>
      <c r="D2060" s="4" t="str">
        <f t="shared" si="1320"/>
        <v/>
      </c>
      <c r="E2060" s="4" t="str">
        <f t="shared" si="1321"/>
        <v/>
      </c>
      <c r="F2060" s="4">
        <v>0</v>
      </c>
      <c r="G2060" s="4">
        <v>0</v>
      </c>
      <c r="H2060" s="4">
        <v>-0.05</v>
      </c>
      <c r="I2060" s="4">
        <v>-0.05</v>
      </c>
      <c r="J2060" s="4">
        <v>8536.21</v>
      </c>
      <c r="K2060" s="4">
        <v>0</v>
      </c>
    </row>
    <row r="2061" spans="1:11">
      <c r="A2061" s="4" t="str">
        <f>"20211008"</f>
        <v>20211008</v>
      </c>
      <c r="B2061" s="4" t="str">
        <f>"20211008"</f>
        <v>20211008</v>
      </c>
      <c r="C2061" s="4" t="str">
        <f>"港股通红利发放"</f>
        <v>港股通红利发放</v>
      </c>
      <c r="D2061" s="4" t="str">
        <f>"00386"</f>
        <v>00386</v>
      </c>
      <c r="E2061" s="4" t="str">
        <f>"中国石油"</f>
        <v>中国石油</v>
      </c>
      <c r="F2061" s="4">
        <v>0.13</v>
      </c>
      <c r="G2061" s="4">
        <v>54000</v>
      </c>
      <c r="H2061" s="4">
        <v>6912</v>
      </c>
      <c r="I2061" s="4">
        <v>6912</v>
      </c>
      <c r="J2061" s="4">
        <v>15448.21</v>
      </c>
      <c r="K2061" s="4">
        <v>54000</v>
      </c>
    </row>
    <row r="2062" spans="1:11">
      <c r="A2062" s="4" t="str">
        <f>"20211008"</f>
        <v>20211008</v>
      </c>
      <c r="B2062" s="4" t="str">
        <f>"20211008"</f>
        <v>20211008</v>
      </c>
      <c r="C2062" s="4" t="str">
        <f>"港股通组合费"</f>
        <v>港股通组合费</v>
      </c>
      <c r="D2062" s="4"/>
      <c r="E2062" s="4"/>
      <c r="F2062" s="4">
        <v>0</v>
      </c>
      <c r="G2062" s="4">
        <v>0</v>
      </c>
      <c r="H2062" s="4">
        <v>0.4</v>
      </c>
      <c r="I2062" s="4">
        <v>-0.4</v>
      </c>
      <c r="J2062" s="4">
        <v>15447.81</v>
      </c>
      <c r="K2062" s="4">
        <v>0</v>
      </c>
    </row>
    <row r="2063" spans="1:11">
      <c r="A2063" s="4" t="str">
        <f t="shared" ref="A2063:A2065" si="1324">"20211011"</f>
        <v>20211011</v>
      </c>
      <c r="B2063" s="4" t="str">
        <f t="shared" ref="B2063:B2065" si="1325">"20211011"</f>
        <v>20211011</v>
      </c>
      <c r="C2063" s="4" t="str">
        <f>"证券转银行"</f>
        <v>证券转银行</v>
      </c>
      <c r="D2063" s="4"/>
      <c r="E2063" s="4"/>
      <c r="F2063" s="4">
        <v>0</v>
      </c>
      <c r="G2063" s="4">
        <v>0</v>
      </c>
      <c r="H2063" s="4">
        <v>0</v>
      </c>
      <c r="I2063" s="4">
        <v>-12000</v>
      </c>
      <c r="J2063" s="4">
        <v>3447.81</v>
      </c>
      <c r="K2063" s="4">
        <v>0</v>
      </c>
    </row>
    <row r="2064" spans="1:11">
      <c r="A2064" s="4" t="str">
        <f t="shared" si="1324"/>
        <v>20211011</v>
      </c>
      <c r="B2064" s="4" t="str">
        <f t="shared" si="1325"/>
        <v>20211011</v>
      </c>
      <c r="C2064" s="4" t="str">
        <f>"基金赎回拨入"</f>
        <v>基金赎回拨入</v>
      </c>
      <c r="D2064" s="4" t="str">
        <f>"AA0007"</f>
        <v>AA0007</v>
      </c>
      <c r="E2064" s="4" t="str">
        <f>"银河水星1号集合"</f>
        <v>银河水星1号集合</v>
      </c>
      <c r="F2064" s="4">
        <v>0</v>
      </c>
      <c r="G2064" s="4">
        <v>4942</v>
      </c>
      <c r="H2064" s="4">
        <v>0</v>
      </c>
      <c r="I2064" s="4">
        <v>4942.19</v>
      </c>
      <c r="J2064" s="4">
        <v>8390</v>
      </c>
      <c r="K2064" s="4">
        <v>0</v>
      </c>
    </row>
    <row r="2065" spans="1:11">
      <c r="A2065" s="4" t="str">
        <f t="shared" si="1324"/>
        <v>20211011</v>
      </c>
      <c r="B2065" s="4" t="str">
        <f t="shared" si="1325"/>
        <v>20211011</v>
      </c>
      <c r="C2065" s="4" t="str">
        <f>"港股通组合费"</f>
        <v>港股通组合费</v>
      </c>
      <c r="D2065" s="4"/>
      <c r="E2065" s="4"/>
      <c r="F2065" s="4">
        <v>0</v>
      </c>
      <c r="G2065" s="4">
        <v>0</v>
      </c>
      <c r="H2065" s="4">
        <v>0.15</v>
      </c>
      <c r="I2065" s="4">
        <v>-0.15</v>
      </c>
      <c r="J2065" s="4">
        <v>8389.85</v>
      </c>
      <c r="K2065" s="4">
        <v>0</v>
      </c>
    </row>
    <row r="2066" spans="1:11">
      <c r="A2066" s="4" t="str">
        <f t="shared" ref="A2066:A2069" si="1326">"20211012"</f>
        <v>20211012</v>
      </c>
      <c r="B2066" s="4" t="str">
        <f t="shared" ref="B2066:B2069" si="1327">"20211012"</f>
        <v>20211012</v>
      </c>
      <c r="C2066" s="4" t="str">
        <f>"基金赎回拨入"</f>
        <v>基金赎回拨入</v>
      </c>
      <c r="D2066" s="4" t="str">
        <f>"AA0007"</f>
        <v>AA0007</v>
      </c>
      <c r="E2066" s="4" t="str">
        <f>"银河水星1号集合"</f>
        <v>银河水星1号集合</v>
      </c>
      <c r="F2066" s="4">
        <v>0</v>
      </c>
      <c r="G2066" s="4">
        <v>16390</v>
      </c>
      <c r="H2066" s="4">
        <v>0</v>
      </c>
      <c r="I2066" s="4">
        <v>16390.15</v>
      </c>
      <c r="J2066" s="4">
        <v>24780</v>
      </c>
      <c r="K2066" s="4">
        <v>0</v>
      </c>
    </row>
    <row r="2067" spans="1:11">
      <c r="A2067" s="4" t="str">
        <f t="shared" si="1326"/>
        <v>20211012</v>
      </c>
      <c r="B2067" s="4" t="str">
        <f t="shared" si="1327"/>
        <v>20211012</v>
      </c>
      <c r="C2067" s="4" t="str">
        <f>"证券买入"</f>
        <v>证券买入</v>
      </c>
      <c r="D2067" s="4" t="str">
        <f t="shared" ref="D2067:D2071" si="1328">"159781"</f>
        <v>159781</v>
      </c>
      <c r="E2067" s="4" t="str">
        <f t="shared" ref="E2067:E2071" si="1329">"科创创业"</f>
        <v>科创创业</v>
      </c>
      <c r="F2067" s="4">
        <v>0.838</v>
      </c>
      <c r="G2067" s="4">
        <v>10000</v>
      </c>
      <c r="H2067" s="4">
        <v>8380</v>
      </c>
      <c r="I2067" s="4">
        <v>-8385</v>
      </c>
      <c r="J2067" s="4">
        <v>16395</v>
      </c>
      <c r="K2067" s="4">
        <v>20000</v>
      </c>
    </row>
    <row r="2068" spans="1:11">
      <c r="A2068" s="4" t="str">
        <f t="shared" si="1326"/>
        <v>20211012</v>
      </c>
      <c r="B2068" s="4" t="str">
        <f t="shared" si="1327"/>
        <v>20211012</v>
      </c>
      <c r="C2068" s="4" t="str">
        <f>"证券买入"</f>
        <v>证券买入</v>
      </c>
      <c r="D2068" s="4" t="str">
        <f t="shared" si="1328"/>
        <v>159781</v>
      </c>
      <c r="E2068" s="4" t="str">
        <f t="shared" si="1329"/>
        <v>科创创业</v>
      </c>
      <c r="F2068" s="4">
        <v>0.825</v>
      </c>
      <c r="G2068" s="4">
        <v>10000</v>
      </c>
      <c r="H2068" s="4">
        <v>8250</v>
      </c>
      <c r="I2068" s="4">
        <v>-8255</v>
      </c>
      <c r="J2068" s="4">
        <v>8140</v>
      </c>
      <c r="K2068" s="4">
        <v>30000</v>
      </c>
    </row>
    <row r="2069" spans="1:11">
      <c r="A2069" s="4" t="str">
        <f t="shared" si="1326"/>
        <v>20211012</v>
      </c>
      <c r="B2069" s="4" t="str">
        <f t="shared" si="1327"/>
        <v>20211012</v>
      </c>
      <c r="C2069" s="4" t="str">
        <f>"港股通组合费"</f>
        <v>港股通组合费</v>
      </c>
      <c r="D2069" s="4"/>
      <c r="E2069" s="4"/>
      <c r="F2069" s="4">
        <v>0</v>
      </c>
      <c r="G2069" s="4">
        <v>0</v>
      </c>
      <c r="H2069" s="4">
        <v>0.05</v>
      </c>
      <c r="I2069" s="4">
        <v>-0.05</v>
      </c>
      <c r="J2069" s="4">
        <v>8139.95</v>
      </c>
      <c r="K2069" s="4">
        <v>0</v>
      </c>
    </row>
    <row r="2070" spans="1:11">
      <c r="A2070" s="4" t="str">
        <f t="shared" ref="A2070:A2072" si="1330">"20211013"</f>
        <v>20211013</v>
      </c>
      <c r="B2070" s="4" t="str">
        <f t="shared" ref="B2070:B2072" si="1331">"20211013"</f>
        <v>20211013</v>
      </c>
      <c r="C2070" s="4" t="str">
        <f>"基金申购拨出"</f>
        <v>基金申购拨出</v>
      </c>
      <c r="D2070" s="4" t="str">
        <f>"AA0007"</f>
        <v>AA0007</v>
      </c>
      <c r="E2070" s="4" t="str">
        <f>"银河水星1号集合"</f>
        <v>银河水星1号集合</v>
      </c>
      <c r="F2070" s="4">
        <v>0</v>
      </c>
      <c r="G2070" s="4">
        <v>0</v>
      </c>
      <c r="H2070" s="4">
        <v>0</v>
      </c>
      <c r="I2070" s="4">
        <v>-8254.95</v>
      </c>
      <c r="J2070" s="4">
        <v>-115</v>
      </c>
      <c r="K2070" s="4">
        <v>0</v>
      </c>
    </row>
    <row r="2071" spans="1:11">
      <c r="A2071" s="4" t="str">
        <f t="shared" si="1330"/>
        <v>20211013</v>
      </c>
      <c r="B2071" s="4" t="str">
        <f t="shared" si="1331"/>
        <v>20211013</v>
      </c>
      <c r="C2071" s="4" t="str">
        <f>"证券卖出"</f>
        <v>证券卖出</v>
      </c>
      <c r="D2071" s="4" t="str">
        <f t="shared" si="1328"/>
        <v>159781</v>
      </c>
      <c r="E2071" s="4" t="str">
        <f t="shared" si="1329"/>
        <v>科创创业</v>
      </c>
      <c r="F2071" s="4">
        <v>0.837</v>
      </c>
      <c r="G2071" s="4">
        <v>10000</v>
      </c>
      <c r="H2071" s="4">
        <v>8370</v>
      </c>
      <c r="I2071" s="4">
        <v>8365</v>
      </c>
      <c r="J2071" s="4">
        <v>8250</v>
      </c>
      <c r="K2071" s="4">
        <v>20000</v>
      </c>
    </row>
    <row r="2072" spans="1:11">
      <c r="A2072" s="4" t="str">
        <f t="shared" si="1330"/>
        <v>20211013</v>
      </c>
      <c r="B2072" s="4" t="str">
        <f t="shared" si="1331"/>
        <v>20211013</v>
      </c>
      <c r="C2072" s="4" t="str">
        <f t="shared" ref="C2072:C2077" si="1332">"港股通组合费"</f>
        <v>港股通组合费</v>
      </c>
      <c r="D2072" s="4"/>
      <c r="E2072" s="4"/>
      <c r="F2072" s="4">
        <v>0</v>
      </c>
      <c r="G2072" s="4">
        <v>0</v>
      </c>
      <c r="H2072" s="4">
        <v>0.05</v>
      </c>
      <c r="I2072" s="4">
        <v>-0.05</v>
      </c>
      <c r="J2072" s="4">
        <v>8249.95</v>
      </c>
      <c r="K2072" s="4">
        <v>0</v>
      </c>
    </row>
    <row r="2073" spans="1:11">
      <c r="A2073" s="4" t="str">
        <f>"20211014"</f>
        <v>20211014</v>
      </c>
      <c r="B2073" s="4" t="str">
        <f>"20211014"</f>
        <v>20211014</v>
      </c>
      <c r="C2073" s="4" t="str">
        <f>"基金申购拨出"</f>
        <v>基金申购拨出</v>
      </c>
      <c r="D2073" s="4" t="str">
        <f t="shared" ref="D2073:D2078" si="1333">"AA0007"</f>
        <v>AA0007</v>
      </c>
      <c r="E2073" s="4" t="str">
        <f t="shared" ref="E2073:E2078" si="1334">"银河水星1号集合"</f>
        <v>银河水星1号集合</v>
      </c>
      <c r="F2073" s="4">
        <v>0</v>
      </c>
      <c r="G2073" s="4">
        <v>0</v>
      </c>
      <c r="H2073" s="4">
        <v>0</v>
      </c>
      <c r="I2073" s="4">
        <v>-8374.95</v>
      </c>
      <c r="J2073" s="4">
        <v>-125</v>
      </c>
      <c r="K2073" s="4">
        <v>0</v>
      </c>
    </row>
    <row r="2074" spans="1:11">
      <c r="A2074" s="4" t="str">
        <f>"20211014"</f>
        <v>20211014</v>
      </c>
      <c r="B2074" s="4" t="str">
        <f>"20211014"</f>
        <v>20211014</v>
      </c>
      <c r="C2074" s="4" t="str">
        <f>"证券卖出"</f>
        <v>证券卖出</v>
      </c>
      <c r="D2074" s="4" t="str">
        <f>"159781"</f>
        <v>159781</v>
      </c>
      <c r="E2074" s="4" t="str">
        <f>"科创创业"</f>
        <v>科创创业</v>
      </c>
      <c r="F2074" s="4">
        <v>0.85</v>
      </c>
      <c r="G2074" s="4">
        <v>10000</v>
      </c>
      <c r="H2074" s="4">
        <v>8500</v>
      </c>
      <c r="I2074" s="4">
        <v>8495</v>
      </c>
      <c r="J2074" s="4">
        <v>8370</v>
      </c>
      <c r="K2074" s="4">
        <v>10000</v>
      </c>
    </row>
    <row r="2075" spans="1:11">
      <c r="A2075" s="4" t="str">
        <f>"20211015"</f>
        <v>20211015</v>
      </c>
      <c r="B2075" s="4" t="str">
        <f>"20211015"</f>
        <v>20211015</v>
      </c>
      <c r="C2075" s="4" t="str">
        <f t="shared" si="1332"/>
        <v>港股通组合费</v>
      </c>
      <c r="D2075" s="4"/>
      <c r="E2075" s="4"/>
      <c r="F2075" s="4">
        <v>0</v>
      </c>
      <c r="G2075" s="4">
        <v>0</v>
      </c>
      <c r="H2075" s="4">
        <v>0.1</v>
      </c>
      <c r="I2075" s="4">
        <v>-0.1</v>
      </c>
      <c r="J2075" s="4">
        <v>8369.9</v>
      </c>
      <c r="K2075" s="4">
        <v>0</v>
      </c>
    </row>
    <row r="2076" spans="1:11">
      <c r="A2076" s="4" t="str">
        <f>"20211018"</f>
        <v>20211018</v>
      </c>
      <c r="B2076" s="4" t="str">
        <f>"20211018"</f>
        <v>20211018</v>
      </c>
      <c r="C2076" s="4" t="str">
        <f t="shared" ref="C2076:C2080" si="1335">"基金赎回拨入"</f>
        <v>基金赎回拨入</v>
      </c>
      <c r="D2076" s="4" t="str">
        <f t="shared" si="1333"/>
        <v>AA0007</v>
      </c>
      <c r="E2076" s="4" t="str">
        <f t="shared" si="1334"/>
        <v>银河水星1号集合</v>
      </c>
      <c r="F2076" s="4">
        <v>0</v>
      </c>
      <c r="G2076" s="4">
        <v>0</v>
      </c>
      <c r="H2076" s="4">
        <v>0</v>
      </c>
      <c r="I2076" s="4">
        <v>0.1</v>
      </c>
      <c r="J2076" s="4">
        <v>8370</v>
      </c>
      <c r="K2076" s="4">
        <v>0</v>
      </c>
    </row>
    <row r="2077" spans="1:11">
      <c r="A2077" s="4" t="str">
        <f>"20211018"</f>
        <v>20211018</v>
      </c>
      <c r="B2077" s="4" t="str">
        <f>"20211018"</f>
        <v>20211018</v>
      </c>
      <c r="C2077" s="4" t="str">
        <f t="shared" si="1332"/>
        <v>港股通组合费</v>
      </c>
      <c r="D2077" s="4"/>
      <c r="E2077" s="4"/>
      <c r="F2077" s="4">
        <v>0</v>
      </c>
      <c r="G2077" s="4">
        <v>0</v>
      </c>
      <c r="H2077" s="4">
        <v>0.15</v>
      </c>
      <c r="I2077" s="4">
        <v>-0.15</v>
      </c>
      <c r="J2077" s="4">
        <v>8369.85</v>
      </c>
      <c r="K2077" s="4">
        <v>0</v>
      </c>
    </row>
    <row r="2078" spans="1:11">
      <c r="A2078" s="4" t="str">
        <f>"20211019"</f>
        <v>20211019</v>
      </c>
      <c r="B2078" s="4" t="str">
        <f>"20211019"</f>
        <v>20211019</v>
      </c>
      <c r="C2078" s="4" t="str">
        <f t="shared" si="1335"/>
        <v>基金赎回拨入</v>
      </c>
      <c r="D2078" s="4" t="str">
        <f t="shared" si="1333"/>
        <v>AA0007</v>
      </c>
      <c r="E2078" s="4" t="str">
        <f t="shared" si="1334"/>
        <v>银河水星1号集合</v>
      </c>
      <c r="F2078" s="4">
        <v>0</v>
      </c>
      <c r="G2078" s="4">
        <v>0</v>
      </c>
      <c r="H2078" s="4">
        <v>0</v>
      </c>
      <c r="I2078" s="4">
        <v>0.15</v>
      </c>
      <c r="J2078" s="4">
        <v>8370</v>
      </c>
      <c r="K2078" s="4">
        <v>0</v>
      </c>
    </row>
    <row r="2079" spans="1:11">
      <c r="A2079" s="4" t="str">
        <f>"20211019"</f>
        <v>20211019</v>
      </c>
      <c r="B2079" s="4" t="str">
        <f>"20211019"</f>
        <v>20211019</v>
      </c>
      <c r="C2079" s="4" t="str">
        <f t="shared" ref="C2079:C2083" si="1336">"港股通组合费"</f>
        <v>港股通组合费</v>
      </c>
      <c r="D2079" s="4"/>
      <c r="E2079" s="4"/>
      <c r="F2079" s="4">
        <v>0</v>
      </c>
      <c r="G2079" s="4">
        <v>0</v>
      </c>
      <c r="H2079" s="4">
        <v>0.05</v>
      </c>
      <c r="I2079" s="4">
        <v>-0.05</v>
      </c>
      <c r="J2079" s="4">
        <v>8369.95</v>
      </c>
      <c r="K2079" s="4">
        <v>0</v>
      </c>
    </row>
    <row r="2080" spans="1:11">
      <c r="A2080" s="4" t="str">
        <f>"20211020"</f>
        <v>20211020</v>
      </c>
      <c r="B2080" s="4" t="str">
        <f>"20211020"</f>
        <v>20211020</v>
      </c>
      <c r="C2080" s="4" t="str">
        <f t="shared" si="1335"/>
        <v>基金赎回拨入</v>
      </c>
      <c r="D2080" s="4" t="str">
        <f t="shared" ref="D2080:D2084" si="1337">"AA0007"</f>
        <v>AA0007</v>
      </c>
      <c r="E2080" s="4" t="str">
        <f t="shared" ref="E2080:E2084" si="1338">"银河水星1号集合"</f>
        <v>银河水星1号集合</v>
      </c>
      <c r="F2080" s="4">
        <v>0</v>
      </c>
      <c r="G2080" s="4">
        <v>0</v>
      </c>
      <c r="H2080" s="4">
        <v>0</v>
      </c>
      <c r="I2080" s="4">
        <v>0.05</v>
      </c>
      <c r="J2080" s="4">
        <v>8370</v>
      </c>
      <c r="K2080" s="4">
        <v>0</v>
      </c>
    </row>
    <row r="2081" spans="1:11">
      <c r="A2081" s="4" t="str">
        <f>"20211020"</f>
        <v>20211020</v>
      </c>
      <c r="B2081" s="4" t="str">
        <f>"20211020"</f>
        <v>20211020</v>
      </c>
      <c r="C2081" s="4" t="str">
        <f t="shared" si="1336"/>
        <v>港股通组合费</v>
      </c>
      <c r="D2081" s="4"/>
      <c r="E2081" s="4"/>
      <c r="F2081" s="4">
        <v>0</v>
      </c>
      <c r="G2081" s="4">
        <v>0</v>
      </c>
      <c r="H2081" s="4">
        <v>0.05</v>
      </c>
      <c r="I2081" s="4">
        <v>-0.05</v>
      </c>
      <c r="J2081" s="4">
        <v>8369.95</v>
      </c>
      <c r="K2081" s="4">
        <v>0</v>
      </c>
    </row>
    <row r="2082" spans="1:11">
      <c r="A2082" s="4" t="str">
        <f>"20211021"</f>
        <v>20211021</v>
      </c>
      <c r="B2082" s="4" t="str">
        <f>"20211021"</f>
        <v>20211021</v>
      </c>
      <c r="C2082" s="4" t="str">
        <f t="shared" ref="C2082:C2086" si="1339">"基金赎回拨入"</f>
        <v>基金赎回拨入</v>
      </c>
      <c r="D2082" s="4" t="str">
        <f t="shared" si="1337"/>
        <v>AA0007</v>
      </c>
      <c r="E2082" s="4" t="str">
        <f t="shared" si="1338"/>
        <v>银河水星1号集合</v>
      </c>
      <c r="F2082" s="4">
        <v>0</v>
      </c>
      <c r="G2082" s="4">
        <v>0</v>
      </c>
      <c r="H2082" s="4">
        <v>0</v>
      </c>
      <c r="I2082" s="4">
        <v>0.05</v>
      </c>
      <c r="J2082" s="4">
        <v>8370</v>
      </c>
      <c r="K2082" s="4">
        <v>0</v>
      </c>
    </row>
    <row r="2083" spans="1:11">
      <c r="A2083" s="4" t="str">
        <f>"20211021"</f>
        <v>20211021</v>
      </c>
      <c r="B2083" s="4" t="str">
        <f>"20211021"</f>
        <v>20211021</v>
      </c>
      <c r="C2083" s="4" t="str">
        <f t="shared" si="1336"/>
        <v>港股通组合费</v>
      </c>
      <c r="D2083" s="4"/>
      <c r="E2083" s="4"/>
      <c r="F2083" s="4">
        <v>0</v>
      </c>
      <c r="G2083" s="4">
        <v>0</v>
      </c>
      <c r="H2083" s="4">
        <v>0.05</v>
      </c>
      <c r="I2083" s="4">
        <v>-0.05</v>
      </c>
      <c r="J2083" s="4">
        <v>8369.95</v>
      </c>
      <c r="K2083" s="4">
        <v>0</v>
      </c>
    </row>
    <row r="2084" spans="1:11">
      <c r="A2084" s="4" t="str">
        <f>"20211022"</f>
        <v>20211022</v>
      </c>
      <c r="B2084" s="4" t="str">
        <f>"20211022"</f>
        <v>20211022</v>
      </c>
      <c r="C2084" s="4" t="str">
        <f t="shared" si="1339"/>
        <v>基金赎回拨入</v>
      </c>
      <c r="D2084" s="4" t="str">
        <f t="shared" si="1337"/>
        <v>AA0007</v>
      </c>
      <c r="E2084" s="4" t="str">
        <f t="shared" si="1338"/>
        <v>银河水星1号集合</v>
      </c>
      <c r="F2084" s="4">
        <v>0</v>
      </c>
      <c r="G2084" s="4">
        <v>0</v>
      </c>
      <c r="H2084" s="4">
        <v>0</v>
      </c>
      <c r="I2084" s="4">
        <v>0.05</v>
      </c>
      <c r="J2084" s="4">
        <v>8370</v>
      </c>
      <c r="K2084" s="4">
        <v>0</v>
      </c>
    </row>
    <row r="2085" spans="1:11">
      <c r="A2085" s="4" t="str">
        <f>"20211022"</f>
        <v>20211022</v>
      </c>
      <c r="B2085" s="4" t="str">
        <f>"20211022"</f>
        <v>20211022</v>
      </c>
      <c r="C2085" s="4" t="str">
        <f t="shared" ref="C2085:C2090" si="1340">"港股通组合费"</f>
        <v>港股通组合费</v>
      </c>
      <c r="D2085" s="4"/>
      <c r="E2085" s="4"/>
      <c r="F2085" s="4">
        <v>0</v>
      </c>
      <c r="G2085" s="4">
        <v>0</v>
      </c>
      <c r="H2085" s="4">
        <v>0.05</v>
      </c>
      <c r="I2085" s="4">
        <v>-0.05</v>
      </c>
      <c r="J2085" s="4">
        <v>8369.95</v>
      </c>
      <c r="K2085" s="4">
        <v>0</v>
      </c>
    </row>
    <row r="2086" spans="1:11">
      <c r="A2086" s="4" t="str">
        <f>"20211025"</f>
        <v>20211025</v>
      </c>
      <c r="B2086" s="4" t="str">
        <f>"20211025"</f>
        <v>20211025</v>
      </c>
      <c r="C2086" s="4" t="str">
        <f t="shared" si="1339"/>
        <v>基金赎回拨入</v>
      </c>
      <c r="D2086" s="4" t="str">
        <f t="shared" ref="D2086:D2091" si="1341">"AA0007"</f>
        <v>AA0007</v>
      </c>
      <c r="E2086" s="4" t="str">
        <f t="shared" ref="E2086:E2091" si="1342">"银河水星1号集合"</f>
        <v>银河水星1号集合</v>
      </c>
      <c r="F2086" s="4">
        <v>0</v>
      </c>
      <c r="G2086" s="4">
        <v>0</v>
      </c>
      <c r="H2086" s="4">
        <v>0</v>
      </c>
      <c r="I2086" s="4">
        <v>0.05</v>
      </c>
      <c r="J2086" s="4">
        <v>8370</v>
      </c>
      <c r="K2086" s="4">
        <v>0</v>
      </c>
    </row>
    <row r="2087" spans="1:11">
      <c r="A2087" s="4" t="str">
        <f>"20211025"</f>
        <v>20211025</v>
      </c>
      <c r="B2087" s="4" t="str">
        <f>"20211025"</f>
        <v>20211025</v>
      </c>
      <c r="C2087" s="4" t="str">
        <f t="shared" si="1340"/>
        <v>港股通组合费</v>
      </c>
      <c r="D2087" s="4"/>
      <c r="E2087" s="4"/>
      <c r="F2087" s="4">
        <v>0</v>
      </c>
      <c r="G2087" s="4">
        <v>0</v>
      </c>
      <c r="H2087" s="4">
        <v>0.15</v>
      </c>
      <c r="I2087" s="4">
        <v>-0.15</v>
      </c>
      <c r="J2087" s="4">
        <v>8369.85</v>
      </c>
      <c r="K2087" s="4">
        <v>0</v>
      </c>
    </row>
    <row r="2088" spans="1:11">
      <c r="A2088" s="4" t="str">
        <f t="shared" ref="A2088:A2090" si="1343">"20211026"</f>
        <v>20211026</v>
      </c>
      <c r="B2088" s="4" t="str">
        <f t="shared" ref="B2088:B2090" si="1344">"20211026"</f>
        <v>20211026</v>
      </c>
      <c r="C2088" s="4" t="str">
        <f>"基金申购拨出"</f>
        <v>基金申购拨出</v>
      </c>
      <c r="D2088" s="4" t="str">
        <f t="shared" si="1341"/>
        <v>AA0007</v>
      </c>
      <c r="E2088" s="4" t="str">
        <f t="shared" si="1342"/>
        <v>银河水星1号集合</v>
      </c>
      <c r="F2088" s="4">
        <v>0</v>
      </c>
      <c r="G2088" s="4">
        <v>0</v>
      </c>
      <c r="H2088" s="4">
        <v>0</v>
      </c>
      <c r="I2088" s="4">
        <v>-8494.85</v>
      </c>
      <c r="J2088" s="4">
        <v>-125</v>
      </c>
      <c r="K2088" s="4">
        <v>0</v>
      </c>
    </row>
    <row r="2089" spans="1:11">
      <c r="A2089" s="4" t="str">
        <f t="shared" si="1343"/>
        <v>20211026</v>
      </c>
      <c r="B2089" s="4" t="str">
        <f t="shared" si="1344"/>
        <v>20211026</v>
      </c>
      <c r="C2089" s="4" t="str">
        <f>"证券卖出"</f>
        <v>证券卖出</v>
      </c>
      <c r="D2089" s="4" t="str">
        <f>"159781"</f>
        <v>159781</v>
      </c>
      <c r="E2089" s="4" t="str">
        <f>"科创创业"</f>
        <v>科创创业</v>
      </c>
      <c r="F2089" s="4">
        <v>0.869</v>
      </c>
      <c r="G2089" s="4">
        <v>10000</v>
      </c>
      <c r="H2089" s="4">
        <v>8690</v>
      </c>
      <c r="I2089" s="4">
        <v>8685</v>
      </c>
      <c r="J2089" s="4">
        <v>8560</v>
      </c>
      <c r="K2089" s="4">
        <v>0</v>
      </c>
    </row>
    <row r="2090" spans="1:11">
      <c r="A2090" s="4" t="str">
        <f t="shared" si="1343"/>
        <v>20211026</v>
      </c>
      <c r="B2090" s="4" t="str">
        <f t="shared" si="1344"/>
        <v>20211026</v>
      </c>
      <c r="C2090" s="4" t="str">
        <f t="shared" si="1340"/>
        <v>港股通组合费</v>
      </c>
      <c r="D2090" s="4"/>
      <c r="E2090" s="4"/>
      <c r="F2090" s="4">
        <v>0</v>
      </c>
      <c r="G2090" s="4">
        <v>0</v>
      </c>
      <c r="H2090" s="4">
        <v>0.05</v>
      </c>
      <c r="I2090" s="4">
        <v>-0.05</v>
      </c>
      <c r="J2090" s="4">
        <v>8559.95</v>
      </c>
      <c r="K2090" s="4">
        <v>0</v>
      </c>
    </row>
    <row r="2091" spans="1:11">
      <c r="A2091" s="4" t="str">
        <f t="shared" ref="A2091:A2093" si="1345">"20211027"</f>
        <v>20211027</v>
      </c>
      <c r="B2091" s="4" t="str">
        <f t="shared" ref="B2091:B2093" si="1346">"20211027"</f>
        <v>20211027</v>
      </c>
      <c r="C2091" s="4" t="str">
        <f>"基金赎回拨入"</f>
        <v>基金赎回拨入</v>
      </c>
      <c r="D2091" s="4" t="str">
        <f t="shared" si="1341"/>
        <v>AA0007</v>
      </c>
      <c r="E2091" s="4" t="str">
        <f t="shared" si="1342"/>
        <v>银河水星1号集合</v>
      </c>
      <c r="F2091" s="4">
        <v>0</v>
      </c>
      <c r="G2091" s="4">
        <v>29617</v>
      </c>
      <c r="H2091" s="4">
        <v>0</v>
      </c>
      <c r="I2091" s="4">
        <v>29617.02</v>
      </c>
      <c r="J2091" s="4">
        <v>38176.97</v>
      </c>
      <c r="K2091" s="4">
        <v>0</v>
      </c>
    </row>
    <row r="2092" spans="1:11">
      <c r="A2092" s="4" t="str">
        <f t="shared" si="1345"/>
        <v>20211027</v>
      </c>
      <c r="B2092" s="4" t="str">
        <f t="shared" si="1346"/>
        <v>20211027</v>
      </c>
      <c r="C2092" s="4" t="str">
        <f>"证券买入"</f>
        <v>证券买入</v>
      </c>
      <c r="D2092" s="4" t="str">
        <f>"159781"</f>
        <v>159781</v>
      </c>
      <c r="E2092" s="4" t="str">
        <f>"科创创业"</f>
        <v>科创创业</v>
      </c>
      <c r="F2092" s="4">
        <v>0.855</v>
      </c>
      <c r="G2092" s="4">
        <v>10000</v>
      </c>
      <c r="H2092" s="4">
        <v>8550</v>
      </c>
      <c r="I2092" s="4">
        <v>-8555</v>
      </c>
      <c r="J2092" s="4">
        <v>29621.97</v>
      </c>
      <c r="K2092" s="4">
        <v>10000</v>
      </c>
    </row>
    <row r="2093" spans="1:11">
      <c r="A2093" s="4" t="str">
        <f t="shared" si="1345"/>
        <v>20211027</v>
      </c>
      <c r="B2093" s="4" t="str">
        <f t="shared" si="1346"/>
        <v>20211027</v>
      </c>
      <c r="C2093" s="4" t="str">
        <f>"港股通组合费"</f>
        <v>港股通组合费</v>
      </c>
      <c r="D2093" s="4"/>
      <c r="E2093" s="4"/>
      <c r="F2093" s="4">
        <v>0</v>
      </c>
      <c r="G2093" s="4">
        <v>0</v>
      </c>
      <c r="H2093" s="4">
        <v>0.05</v>
      </c>
      <c r="I2093" s="4">
        <v>-0.05</v>
      </c>
      <c r="J2093" s="4">
        <v>29621.92</v>
      </c>
      <c r="K2093" s="4">
        <v>0</v>
      </c>
    </row>
    <row r="2094" spans="1:11">
      <c r="A2094" s="4" t="str">
        <f>"20211028"</f>
        <v>20211028</v>
      </c>
      <c r="B2094" s="4" t="str">
        <f>"20211028"</f>
        <v>20211028</v>
      </c>
      <c r="C2094" s="4" t="str">
        <f>"基金申购拨出"</f>
        <v>基金申购拨出</v>
      </c>
      <c r="D2094" s="4" t="str">
        <f>"AA0007"</f>
        <v>AA0007</v>
      </c>
      <c r="E2094" s="4" t="str">
        <f>"银河水星1号集合"</f>
        <v>银河水星1号集合</v>
      </c>
      <c r="F2094" s="4">
        <v>0</v>
      </c>
      <c r="G2094" s="4">
        <v>0</v>
      </c>
      <c r="H2094" s="4">
        <v>0</v>
      </c>
      <c r="I2094" s="4">
        <v>-8913.64</v>
      </c>
      <c r="J2094" s="4">
        <v>20708.28</v>
      </c>
      <c r="K2094" s="4">
        <v>0</v>
      </c>
    </row>
    <row r="2095" spans="1:11">
      <c r="A2095" s="4" t="str">
        <f>"20211028"</f>
        <v>20211028</v>
      </c>
      <c r="B2095" s="4" t="str">
        <f>"20211028"</f>
        <v>20211028</v>
      </c>
      <c r="C2095" s="4" t="str">
        <f>"港股通组合费"</f>
        <v>港股通组合费</v>
      </c>
      <c r="D2095" s="4"/>
      <c r="E2095" s="4"/>
      <c r="F2095" s="4">
        <v>0</v>
      </c>
      <c r="G2095" s="4">
        <v>0</v>
      </c>
      <c r="H2095" s="4">
        <v>0.04</v>
      </c>
      <c r="I2095" s="4">
        <v>-0.04</v>
      </c>
      <c r="J2095" s="4">
        <v>20708.24</v>
      </c>
      <c r="K2095" s="4">
        <v>0</v>
      </c>
    </row>
    <row r="2096" spans="1:11">
      <c r="A2096" s="4" t="str">
        <f t="shared" ref="A2096:A2099" si="1347">"20211029"</f>
        <v>20211029</v>
      </c>
      <c r="B2096" s="4" t="str">
        <f t="shared" ref="B2096:B2099" si="1348">"20211029"</f>
        <v>20211029</v>
      </c>
      <c r="C2096" s="4" t="str">
        <f>"基金申购拨出"</f>
        <v>基金申购拨出</v>
      </c>
      <c r="D2096" s="4" t="str">
        <f>"AA0007"</f>
        <v>AA0007</v>
      </c>
      <c r="E2096" s="4" t="str">
        <f>"银河水星1号集合"</f>
        <v>银河水星1号集合</v>
      </c>
      <c r="F2096" s="4">
        <v>0</v>
      </c>
      <c r="G2096" s="4">
        <v>0</v>
      </c>
      <c r="H2096" s="4">
        <v>0</v>
      </c>
      <c r="I2096" s="4">
        <v>-8544.96</v>
      </c>
      <c r="J2096" s="4">
        <v>12163.28</v>
      </c>
      <c r="K2096" s="4">
        <v>0</v>
      </c>
    </row>
    <row r="2097" spans="1:11">
      <c r="A2097" s="4" t="str">
        <f t="shared" si="1347"/>
        <v>20211029</v>
      </c>
      <c r="B2097" s="4" t="str">
        <f t="shared" si="1348"/>
        <v>20211029</v>
      </c>
      <c r="C2097" s="4" t="str">
        <f>"证券卖出"</f>
        <v>证券卖出</v>
      </c>
      <c r="D2097" s="4" t="str">
        <f>"159781"</f>
        <v>159781</v>
      </c>
      <c r="E2097" s="4" t="str">
        <f>"科创创业"</f>
        <v>科创创业</v>
      </c>
      <c r="F2097" s="4">
        <v>0.869</v>
      </c>
      <c r="G2097" s="4">
        <v>10000</v>
      </c>
      <c r="H2097" s="4">
        <v>8690</v>
      </c>
      <c r="I2097" s="4">
        <v>8685</v>
      </c>
      <c r="J2097" s="4">
        <v>20848.28</v>
      </c>
      <c r="K2097" s="4">
        <v>0</v>
      </c>
    </row>
    <row r="2098" spans="1:11">
      <c r="A2098" s="4" t="str">
        <f t="shared" si="1347"/>
        <v>20211029</v>
      </c>
      <c r="B2098" s="4" t="str">
        <f>"20211027"</f>
        <v>20211027</v>
      </c>
      <c r="C2098" s="4" t="str">
        <f>"港股通股票买入"</f>
        <v>港股通股票买入</v>
      </c>
      <c r="D2098" s="4" t="str">
        <f>"01099"</f>
        <v>01099</v>
      </c>
      <c r="E2098" s="4" t="str">
        <f>"国药控股"</f>
        <v>国药控股</v>
      </c>
      <c r="F2098" s="4">
        <v>15.33</v>
      </c>
      <c r="G2098" s="4">
        <v>800</v>
      </c>
      <c r="H2098" s="4">
        <v>12262.75</v>
      </c>
      <c r="I2098" s="4">
        <v>-12288.28</v>
      </c>
      <c r="J2098" s="4">
        <v>8560</v>
      </c>
      <c r="K2098" s="4">
        <v>2000</v>
      </c>
    </row>
    <row r="2099" spans="1:11">
      <c r="A2099" s="4" t="str">
        <f t="shared" si="1347"/>
        <v>20211029</v>
      </c>
      <c r="B2099" s="4" t="str">
        <f t="shared" si="1348"/>
        <v>20211029</v>
      </c>
      <c r="C2099" s="4" t="str">
        <f t="shared" ref="C2099:C2103" si="1349">"港股通组合费"</f>
        <v>港股通组合费</v>
      </c>
      <c r="D2099" s="4"/>
      <c r="E2099" s="4"/>
      <c r="F2099" s="4">
        <v>0</v>
      </c>
      <c r="G2099" s="4">
        <v>0</v>
      </c>
      <c r="H2099" s="4">
        <v>0.04</v>
      </c>
      <c r="I2099" s="4">
        <v>-0.04</v>
      </c>
      <c r="J2099" s="4">
        <v>8559.96</v>
      </c>
      <c r="K2099" s="4">
        <v>0</v>
      </c>
    </row>
    <row r="2100" spans="1:11">
      <c r="A2100" s="4" t="str">
        <f>"20211101"</f>
        <v>20211101</v>
      </c>
      <c r="B2100" s="4" t="str">
        <f>"20211101"</f>
        <v>20211101</v>
      </c>
      <c r="C2100" s="4" t="str">
        <f>"基金赎回拨入"</f>
        <v>基金赎回拨入</v>
      </c>
      <c r="D2100" s="4" t="str">
        <f t="shared" ref="D2100:D2104" si="1350">"AA0007"</f>
        <v>AA0007</v>
      </c>
      <c r="E2100" s="4" t="str">
        <f t="shared" ref="E2100:E2104" si="1351">"银河水星1号集合"</f>
        <v>银河水星1号集合</v>
      </c>
      <c r="F2100" s="4">
        <v>0</v>
      </c>
      <c r="G2100" s="4">
        <v>0</v>
      </c>
      <c r="H2100" s="4">
        <v>0</v>
      </c>
      <c r="I2100" s="4">
        <v>0.04</v>
      </c>
      <c r="J2100" s="4">
        <v>8560</v>
      </c>
      <c r="K2100" s="4">
        <v>0</v>
      </c>
    </row>
    <row r="2101" spans="1:11">
      <c r="A2101" s="4" t="str">
        <f>"20211101"</f>
        <v>20211101</v>
      </c>
      <c r="B2101" s="4" t="str">
        <f>"20211101"</f>
        <v>20211101</v>
      </c>
      <c r="C2101" s="4" t="str">
        <f t="shared" si="1349"/>
        <v>港股通组合费</v>
      </c>
      <c r="D2101" s="4"/>
      <c r="E2101" s="4"/>
      <c r="F2101" s="4">
        <v>0</v>
      </c>
      <c r="G2101" s="4">
        <v>0</v>
      </c>
      <c r="H2101" s="4">
        <v>0.15</v>
      </c>
      <c r="I2101" s="4">
        <v>-0.15</v>
      </c>
      <c r="J2101" s="4">
        <v>8559.85</v>
      </c>
      <c r="K2101" s="4">
        <v>0</v>
      </c>
    </row>
    <row r="2102" spans="1:11">
      <c r="A2102" s="4" t="str">
        <f>"20211102"</f>
        <v>20211102</v>
      </c>
      <c r="B2102" s="4" t="str">
        <f>"20211102"</f>
        <v>20211102</v>
      </c>
      <c r="C2102" s="4" t="str">
        <f>"基金赎回拨入"</f>
        <v>基金赎回拨入</v>
      </c>
      <c r="D2102" s="4" t="str">
        <f t="shared" si="1350"/>
        <v>AA0007</v>
      </c>
      <c r="E2102" s="4" t="str">
        <f t="shared" si="1351"/>
        <v>银河水星1号集合</v>
      </c>
      <c r="F2102" s="4">
        <v>0</v>
      </c>
      <c r="G2102" s="4">
        <v>8655</v>
      </c>
      <c r="H2102" s="4">
        <v>0</v>
      </c>
      <c r="I2102" s="4">
        <v>8655.15</v>
      </c>
      <c r="J2102" s="4">
        <v>17215</v>
      </c>
      <c r="K2102" s="4">
        <v>0</v>
      </c>
    </row>
    <row r="2103" spans="1:11">
      <c r="A2103" s="4" t="str">
        <f>"20211102"</f>
        <v>20211102</v>
      </c>
      <c r="B2103" s="4" t="str">
        <f>"20211102"</f>
        <v>20211102</v>
      </c>
      <c r="C2103" s="4" t="str">
        <f t="shared" si="1349"/>
        <v>港股通组合费</v>
      </c>
      <c r="D2103" s="4"/>
      <c r="E2103" s="4"/>
      <c r="F2103" s="4">
        <v>0</v>
      </c>
      <c r="G2103" s="4">
        <v>0</v>
      </c>
      <c r="H2103" s="4">
        <v>0.05</v>
      </c>
      <c r="I2103" s="4">
        <v>-0.05</v>
      </c>
      <c r="J2103" s="4">
        <v>17214.95</v>
      </c>
      <c r="K2103" s="4">
        <v>0</v>
      </c>
    </row>
    <row r="2104" spans="1:11">
      <c r="A2104" s="4" t="str">
        <f t="shared" ref="A2104:A2106" si="1352">"20211103"</f>
        <v>20211103</v>
      </c>
      <c r="B2104" s="4" t="str">
        <f t="shared" ref="B2104:B2106" si="1353">"20211103"</f>
        <v>20211103</v>
      </c>
      <c r="C2104" s="4" t="str">
        <f>"基金申购拨出"</f>
        <v>基金申购拨出</v>
      </c>
      <c r="D2104" s="4" t="str">
        <f t="shared" si="1350"/>
        <v>AA0007</v>
      </c>
      <c r="E2104" s="4" t="str">
        <f t="shared" si="1351"/>
        <v>银河水星1号集合</v>
      </c>
      <c r="F2104" s="4">
        <v>0</v>
      </c>
      <c r="G2104" s="4">
        <v>0</v>
      </c>
      <c r="H2104" s="4">
        <v>0</v>
      </c>
      <c r="I2104" s="4">
        <v>-8594.95</v>
      </c>
      <c r="J2104" s="4">
        <v>8620</v>
      </c>
      <c r="K2104" s="4">
        <v>0</v>
      </c>
    </row>
    <row r="2105" spans="1:11">
      <c r="A2105" s="4" t="str">
        <f t="shared" si="1352"/>
        <v>20211103</v>
      </c>
      <c r="B2105" s="4" t="str">
        <f t="shared" si="1353"/>
        <v>20211103</v>
      </c>
      <c r="C2105" s="4" t="str">
        <f>"证券买入"</f>
        <v>证券买入</v>
      </c>
      <c r="D2105" s="4" t="str">
        <f>"159781"</f>
        <v>159781</v>
      </c>
      <c r="E2105" s="4" t="str">
        <f>"科创创业"</f>
        <v>科创创业</v>
      </c>
      <c r="F2105" s="4">
        <v>0.861</v>
      </c>
      <c r="G2105" s="4">
        <v>10000</v>
      </c>
      <c r="H2105" s="4">
        <v>8610</v>
      </c>
      <c r="I2105" s="4">
        <v>-8615</v>
      </c>
      <c r="J2105" s="4">
        <v>5</v>
      </c>
      <c r="K2105" s="4">
        <v>10000</v>
      </c>
    </row>
    <row r="2106" spans="1:11">
      <c r="A2106" s="4" t="str">
        <f t="shared" si="1352"/>
        <v>20211103</v>
      </c>
      <c r="B2106" s="4" t="str">
        <f t="shared" si="1353"/>
        <v>20211103</v>
      </c>
      <c r="C2106" s="4" t="str">
        <f t="shared" ref="C2106:C2109" si="1354">"港股通组合费"</f>
        <v>港股通组合费</v>
      </c>
      <c r="D2106" s="4"/>
      <c r="E2106" s="4"/>
      <c r="F2106" s="4">
        <v>0</v>
      </c>
      <c r="G2106" s="4">
        <v>0</v>
      </c>
      <c r="H2106" s="4">
        <v>0.05</v>
      </c>
      <c r="I2106" s="4">
        <v>-0.05</v>
      </c>
      <c r="J2106" s="4">
        <v>4.95</v>
      </c>
      <c r="K2106" s="4">
        <v>0</v>
      </c>
    </row>
    <row r="2107" spans="1:11">
      <c r="A2107" s="4" t="str">
        <f>"20211104"</f>
        <v>20211104</v>
      </c>
      <c r="B2107" s="4" t="str">
        <f>"20211104"</f>
        <v>20211104</v>
      </c>
      <c r="C2107" s="4" t="str">
        <f>"证券卖出"</f>
        <v>证券卖出</v>
      </c>
      <c r="D2107" s="4" t="str">
        <f>"159781"</f>
        <v>159781</v>
      </c>
      <c r="E2107" s="4" t="str">
        <f>"科创创业"</f>
        <v>科创创业</v>
      </c>
      <c r="F2107" s="4">
        <v>0.875</v>
      </c>
      <c r="G2107" s="4">
        <v>10000</v>
      </c>
      <c r="H2107" s="4">
        <v>8750</v>
      </c>
      <c r="I2107" s="4">
        <v>8745</v>
      </c>
      <c r="J2107" s="4">
        <v>8749.95</v>
      </c>
      <c r="K2107" s="4">
        <v>0</v>
      </c>
    </row>
    <row r="2108" spans="1:11">
      <c r="A2108" s="4" t="str">
        <f>"20211104"</f>
        <v>20211104</v>
      </c>
      <c r="B2108" s="4" t="str">
        <f>"20211104"</f>
        <v>20211104</v>
      </c>
      <c r="C2108" s="4" t="str">
        <f t="shared" si="1354"/>
        <v>港股通组合费</v>
      </c>
      <c r="D2108" s="4"/>
      <c r="E2108" s="4"/>
      <c r="F2108" s="4">
        <v>0</v>
      </c>
      <c r="G2108" s="4">
        <v>0</v>
      </c>
      <c r="H2108" s="4">
        <v>0.05</v>
      </c>
      <c r="I2108" s="4">
        <v>-0.05</v>
      </c>
      <c r="J2108" s="4">
        <v>8749.9</v>
      </c>
      <c r="K2108" s="4">
        <v>0</v>
      </c>
    </row>
    <row r="2109" spans="1:11">
      <c r="A2109" s="4" t="str">
        <f>"20211105"</f>
        <v>20211105</v>
      </c>
      <c r="B2109" s="4" t="str">
        <f>"20211105"</f>
        <v>20211105</v>
      </c>
      <c r="C2109" s="4" t="str">
        <f t="shared" si="1354"/>
        <v>港股通组合费</v>
      </c>
      <c r="D2109" s="4"/>
      <c r="E2109" s="4"/>
      <c r="F2109" s="4">
        <v>0</v>
      </c>
      <c r="G2109" s="4">
        <v>0</v>
      </c>
      <c r="H2109" s="4">
        <v>0.05</v>
      </c>
      <c r="I2109" s="4">
        <v>-0.05</v>
      </c>
      <c r="J2109" s="4">
        <v>8749.85</v>
      </c>
      <c r="K2109" s="4">
        <v>0</v>
      </c>
    </row>
    <row r="2110" spans="1:11">
      <c r="A2110" s="4" t="str">
        <f t="shared" ref="A2110:A2112" si="1355">"20211108"</f>
        <v>20211108</v>
      </c>
      <c r="B2110" s="4" t="str">
        <f t="shared" ref="B2110:B2112" si="1356">"20211108"</f>
        <v>20211108</v>
      </c>
      <c r="C2110" s="4" t="str">
        <f>"银行转证券"</f>
        <v>银行转证券</v>
      </c>
      <c r="D2110" s="4"/>
      <c r="E2110" s="4"/>
      <c r="F2110" s="4">
        <v>0</v>
      </c>
      <c r="G2110" s="4">
        <v>0</v>
      </c>
      <c r="H2110" s="4">
        <v>0</v>
      </c>
      <c r="I2110" s="4">
        <v>25000</v>
      </c>
      <c r="J2110" s="4">
        <v>33749.85</v>
      </c>
      <c r="K2110" s="4">
        <v>0</v>
      </c>
    </row>
    <row r="2111" spans="1:11">
      <c r="A2111" s="4" t="str">
        <f t="shared" si="1355"/>
        <v>20211108</v>
      </c>
      <c r="B2111" s="4" t="str">
        <f t="shared" si="1356"/>
        <v>20211108</v>
      </c>
      <c r="C2111" s="4" t="str">
        <f>"证券买入"</f>
        <v>证券买入</v>
      </c>
      <c r="D2111" s="4" t="str">
        <f>"600028"</f>
        <v>600028</v>
      </c>
      <c r="E2111" s="4" t="str">
        <f>"中国石化"</f>
        <v>中国石化</v>
      </c>
      <c r="F2111" s="4">
        <v>4.1</v>
      </c>
      <c r="G2111" s="4">
        <v>3000</v>
      </c>
      <c r="H2111" s="4">
        <v>12300</v>
      </c>
      <c r="I2111" s="4">
        <v>-12305.25</v>
      </c>
      <c r="J2111" s="4">
        <v>21444.6</v>
      </c>
      <c r="K2111" s="4">
        <v>3000</v>
      </c>
    </row>
    <row r="2112" spans="1:11">
      <c r="A2112" s="4" t="str">
        <f t="shared" si="1355"/>
        <v>20211108</v>
      </c>
      <c r="B2112" s="4" t="str">
        <f t="shared" si="1356"/>
        <v>20211108</v>
      </c>
      <c r="C2112" s="4" t="str">
        <f>"港股通组合费"</f>
        <v>港股通组合费</v>
      </c>
      <c r="D2112" s="4"/>
      <c r="E2112" s="4"/>
      <c r="F2112" s="4">
        <v>0</v>
      </c>
      <c r="G2112" s="4">
        <v>0</v>
      </c>
      <c r="H2112" s="4">
        <v>0.15</v>
      </c>
      <c r="I2112" s="4">
        <v>-0.15</v>
      </c>
      <c r="J2112" s="4">
        <v>21444.45</v>
      </c>
      <c r="K2112" s="4">
        <v>0</v>
      </c>
    </row>
    <row r="2113" spans="1:11">
      <c r="A2113" s="4" t="str">
        <f t="shared" ref="A2113:A2115" si="1357">"20211109"</f>
        <v>20211109</v>
      </c>
      <c r="B2113" s="4" t="str">
        <f t="shared" ref="B2113:B2115" si="1358">"20211109"</f>
        <v>20211109</v>
      </c>
      <c r="C2113" s="4" t="str">
        <f>"基金赎回拨入"</f>
        <v>基金赎回拨入</v>
      </c>
      <c r="D2113" s="4" t="str">
        <f>"AA0007"</f>
        <v>AA0007</v>
      </c>
      <c r="E2113" s="4" t="str">
        <f>"银河水星1号集合"</f>
        <v>银河水星1号集合</v>
      </c>
      <c r="F2113" s="4">
        <v>0</v>
      </c>
      <c r="G2113" s="4">
        <v>11276</v>
      </c>
      <c r="H2113" s="4">
        <v>0</v>
      </c>
      <c r="I2113" s="4">
        <v>11276.03</v>
      </c>
      <c r="J2113" s="4">
        <v>32720.48</v>
      </c>
      <c r="K2113" s="4">
        <v>0</v>
      </c>
    </row>
    <row r="2114" spans="1:11">
      <c r="A2114" s="4" t="str">
        <f t="shared" si="1357"/>
        <v>20211109</v>
      </c>
      <c r="B2114" s="4" t="str">
        <f t="shared" si="1358"/>
        <v>20211109</v>
      </c>
      <c r="C2114" s="4" t="str">
        <f>"证券买入"</f>
        <v>证券买入</v>
      </c>
      <c r="D2114" s="4" t="str">
        <f>"600028"</f>
        <v>600028</v>
      </c>
      <c r="E2114" s="4" t="str">
        <f>"中国石化"</f>
        <v>中国石化</v>
      </c>
      <c r="F2114" s="4">
        <v>4.05</v>
      </c>
      <c r="G2114" s="4">
        <v>3000</v>
      </c>
      <c r="H2114" s="4">
        <v>12150</v>
      </c>
      <c r="I2114" s="4">
        <v>-12155.24</v>
      </c>
      <c r="J2114" s="4">
        <v>20565.24</v>
      </c>
      <c r="K2114" s="4">
        <v>6000</v>
      </c>
    </row>
    <row r="2115" spans="1:11">
      <c r="A2115" s="4" t="str">
        <f t="shared" si="1357"/>
        <v>20211109</v>
      </c>
      <c r="B2115" s="4" t="str">
        <f t="shared" si="1358"/>
        <v>20211109</v>
      </c>
      <c r="C2115" s="4" t="str">
        <f>"港股通组合费"</f>
        <v>港股通组合费</v>
      </c>
      <c r="D2115" s="4"/>
      <c r="E2115" s="4"/>
      <c r="F2115" s="4">
        <v>0</v>
      </c>
      <c r="G2115" s="4">
        <v>0</v>
      </c>
      <c r="H2115" s="4">
        <v>0.05</v>
      </c>
      <c r="I2115" s="4">
        <v>-0.05</v>
      </c>
      <c r="J2115" s="4">
        <v>20565.19</v>
      </c>
      <c r="K2115" s="4">
        <v>0</v>
      </c>
    </row>
    <row r="2116" spans="1:11">
      <c r="A2116" s="4" t="str">
        <f t="shared" ref="A2116:A2118" si="1359">"20211110"</f>
        <v>20211110</v>
      </c>
      <c r="B2116" s="4" t="str">
        <f t="shared" ref="B2116:B2118" si="1360">"20211110"</f>
        <v>20211110</v>
      </c>
      <c r="C2116" s="4" t="str">
        <f>"基金赎回拨入"</f>
        <v>基金赎回拨入</v>
      </c>
      <c r="D2116" s="4" t="str">
        <f>"AA0007"</f>
        <v>AA0007</v>
      </c>
      <c r="E2116" s="4" t="str">
        <f>"银河水星1号集合"</f>
        <v>银河水星1号集合</v>
      </c>
      <c r="F2116" s="4">
        <v>0</v>
      </c>
      <c r="G2116" s="4">
        <v>8645</v>
      </c>
      <c r="H2116" s="4">
        <v>0</v>
      </c>
      <c r="I2116" s="4">
        <v>8645.05</v>
      </c>
      <c r="J2116" s="4">
        <v>29210.24</v>
      </c>
      <c r="K2116" s="4">
        <v>0</v>
      </c>
    </row>
    <row r="2117" spans="1:11">
      <c r="A2117" s="4" t="str">
        <f t="shared" si="1359"/>
        <v>20211110</v>
      </c>
      <c r="B2117" s="4" t="str">
        <f t="shared" si="1360"/>
        <v>20211110</v>
      </c>
      <c r="C2117" s="4" t="str">
        <f>"证券买入"</f>
        <v>证券买入</v>
      </c>
      <c r="D2117" s="4" t="str">
        <f>"159781"</f>
        <v>159781</v>
      </c>
      <c r="E2117" s="4" t="str">
        <f>"科创创业"</f>
        <v>科创创业</v>
      </c>
      <c r="F2117" s="4">
        <v>0.864</v>
      </c>
      <c r="G2117" s="4">
        <v>10000</v>
      </c>
      <c r="H2117" s="4">
        <v>8640</v>
      </c>
      <c r="I2117" s="4">
        <v>-8645</v>
      </c>
      <c r="J2117" s="4">
        <v>20565.24</v>
      </c>
      <c r="K2117" s="4">
        <v>10000</v>
      </c>
    </row>
    <row r="2118" spans="1:11">
      <c r="A2118" s="4" t="str">
        <f t="shared" si="1359"/>
        <v>20211110</v>
      </c>
      <c r="B2118" s="4" t="str">
        <f t="shared" si="1360"/>
        <v>20211110</v>
      </c>
      <c r="C2118" s="4" t="str">
        <f>"港股通组合费"</f>
        <v>港股通组合费</v>
      </c>
      <c r="D2118" s="4"/>
      <c r="E2118" s="4"/>
      <c r="F2118" s="4">
        <v>0</v>
      </c>
      <c r="G2118" s="4">
        <v>0</v>
      </c>
      <c r="H2118" s="4">
        <v>0.05</v>
      </c>
      <c r="I2118" s="4">
        <v>-0.05</v>
      </c>
      <c r="J2118" s="4">
        <v>20565.19</v>
      </c>
      <c r="K2118" s="4">
        <v>0</v>
      </c>
    </row>
    <row r="2119" spans="1:11">
      <c r="A2119" s="4" t="str">
        <f t="shared" ref="A2119:A2122" si="1361">"20211111"</f>
        <v>20211111</v>
      </c>
      <c r="B2119" s="4" t="str">
        <f t="shared" ref="B2119:B2122" si="1362">"20211111"</f>
        <v>20211111</v>
      </c>
      <c r="C2119" s="4" t="str">
        <f>"基金申购拨出"</f>
        <v>基金申购拨出</v>
      </c>
      <c r="D2119" s="4" t="str">
        <f>"AA0007"</f>
        <v>AA0007</v>
      </c>
      <c r="E2119" s="4" t="str">
        <f>"银河水星1号集合"</f>
        <v>银河水星1号集合</v>
      </c>
      <c r="F2119" s="4">
        <v>0</v>
      </c>
      <c r="G2119" s="4">
        <v>0</v>
      </c>
      <c r="H2119" s="4">
        <v>0</v>
      </c>
      <c r="I2119" s="4">
        <v>-20817.4</v>
      </c>
      <c r="J2119" s="4">
        <v>-252.21</v>
      </c>
      <c r="K2119" s="4">
        <v>0</v>
      </c>
    </row>
    <row r="2120" spans="1:11">
      <c r="A2120" s="4" t="str">
        <f t="shared" si="1361"/>
        <v>20211111</v>
      </c>
      <c r="B2120" s="4" t="str">
        <f t="shared" si="1362"/>
        <v>20211111</v>
      </c>
      <c r="C2120" s="4" t="str">
        <f>"证券卖出"</f>
        <v>证券卖出</v>
      </c>
      <c r="D2120" s="4" t="str">
        <f>"159781"</f>
        <v>159781</v>
      </c>
      <c r="E2120" s="4" t="str">
        <f>"科创创业"</f>
        <v>科创创业</v>
      </c>
      <c r="F2120" s="4">
        <v>0.883</v>
      </c>
      <c r="G2120" s="4">
        <v>10000</v>
      </c>
      <c r="H2120" s="4">
        <v>8830</v>
      </c>
      <c r="I2120" s="4">
        <v>8825</v>
      </c>
      <c r="J2120" s="4">
        <v>8572.79</v>
      </c>
      <c r="K2120" s="4">
        <v>0</v>
      </c>
    </row>
    <row r="2121" spans="1:11">
      <c r="A2121" s="4" t="str">
        <f t="shared" si="1361"/>
        <v>20211111</v>
      </c>
      <c r="B2121" s="4" t="str">
        <f t="shared" si="1362"/>
        <v>20211111</v>
      </c>
      <c r="C2121" s="4" t="str">
        <f>"证券卖出"</f>
        <v>证券卖出</v>
      </c>
      <c r="D2121" s="4" t="str">
        <f>"600028"</f>
        <v>600028</v>
      </c>
      <c r="E2121" s="4" t="str">
        <f>"中国石化"</f>
        <v>中国石化</v>
      </c>
      <c r="F2121" s="4">
        <v>4.1</v>
      </c>
      <c r="G2121" s="4">
        <v>3000</v>
      </c>
      <c r="H2121" s="4">
        <v>12300</v>
      </c>
      <c r="I2121" s="4">
        <v>12282.45</v>
      </c>
      <c r="J2121" s="4">
        <v>20855.24</v>
      </c>
      <c r="K2121" s="4">
        <v>3000</v>
      </c>
    </row>
    <row r="2122" spans="1:11">
      <c r="A2122" s="4" t="str">
        <f t="shared" si="1361"/>
        <v>20211111</v>
      </c>
      <c r="B2122" s="4" t="str">
        <f t="shared" si="1362"/>
        <v>20211111</v>
      </c>
      <c r="C2122" s="4" t="str">
        <f t="shared" ref="C2122:C2127" si="1363">"港股通组合费"</f>
        <v>港股通组合费</v>
      </c>
      <c r="D2122" s="4"/>
      <c r="E2122" s="4"/>
      <c r="F2122" s="4">
        <v>0</v>
      </c>
      <c r="G2122" s="4">
        <v>0</v>
      </c>
      <c r="H2122" s="4">
        <v>0.05</v>
      </c>
      <c r="I2122" s="4">
        <v>-0.05</v>
      </c>
      <c r="J2122" s="4">
        <v>20855.19</v>
      </c>
      <c r="K2122" s="4">
        <v>0</v>
      </c>
    </row>
    <row r="2123" spans="1:11">
      <c r="A2123" s="4" t="str">
        <f t="shared" ref="A2123:A2125" si="1364">"20211112"</f>
        <v>20211112</v>
      </c>
      <c r="B2123" s="4" t="str">
        <f t="shared" ref="B2123:B2125" si="1365">"20211112"</f>
        <v>20211112</v>
      </c>
      <c r="C2123" s="4" t="str">
        <f>"基金赎回拨入"</f>
        <v>基金赎回拨入</v>
      </c>
      <c r="D2123" s="4" t="str">
        <f>"AA0007"</f>
        <v>AA0007</v>
      </c>
      <c r="E2123" s="4" t="str">
        <f>"银河水星1号集合"</f>
        <v>银河水星1号集合</v>
      </c>
      <c r="F2123" s="4">
        <v>0</v>
      </c>
      <c r="G2123" s="4">
        <v>24205</v>
      </c>
      <c r="H2123" s="4">
        <v>0</v>
      </c>
      <c r="I2123" s="4">
        <v>24205.05</v>
      </c>
      <c r="J2123" s="4">
        <v>45060.24</v>
      </c>
      <c r="K2123" s="4">
        <v>0</v>
      </c>
    </row>
    <row r="2124" spans="1:11">
      <c r="A2124" s="4" t="str">
        <f t="shared" si="1364"/>
        <v>20211112</v>
      </c>
      <c r="B2124" s="4" t="str">
        <f t="shared" si="1365"/>
        <v>20211112</v>
      </c>
      <c r="C2124" s="4" t="str">
        <f>"证券买入"</f>
        <v>证券买入</v>
      </c>
      <c r="D2124" s="4" t="str">
        <f>"000601"</f>
        <v>000601</v>
      </c>
      <c r="E2124" s="4" t="str">
        <f>"韶能股份"</f>
        <v>韶能股份</v>
      </c>
      <c r="F2124" s="4">
        <v>4.84</v>
      </c>
      <c r="G2124" s="4">
        <v>5000</v>
      </c>
      <c r="H2124" s="4">
        <v>24200</v>
      </c>
      <c r="I2124" s="4">
        <v>-24205</v>
      </c>
      <c r="J2124" s="4">
        <v>20855.24</v>
      </c>
      <c r="K2124" s="4">
        <v>6700</v>
      </c>
    </row>
    <row r="2125" spans="1:11">
      <c r="A2125" s="4" t="str">
        <f t="shared" si="1364"/>
        <v>20211112</v>
      </c>
      <c r="B2125" s="4" t="str">
        <f t="shared" si="1365"/>
        <v>20211112</v>
      </c>
      <c r="C2125" s="4" t="str">
        <f t="shared" si="1363"/>
        <v>港股通组合费</v>
      </c>
      <c r="D2125" s="4"/>
      <c r="E2125" s="4"/>
      <c r="F2125" s="4">
        <v>0</v>
      </c>
      <c r="G2125" s="4">
        <v>0</v>
      </c>
      <c r="H2125" s="4">
        <v>0.05</v>
      </c>
      <c r="I2125" s="4">
        <v>-0.05</v>
      </c>
      <c r="J2125" s="4">
        <v>20855.19</v>
      </c>
      <c r="K2125" s="4">
        <v>0</v>
      </c>
    </row>
    <row r="2126" spans="1:11">
      <c r="A2126" s="4" t="str">
        <f>"20211115"</f>
        <v>20211115</v>
      </c>
      <c r="B2126" s="4" t="str">
        <f>"20211115"</f>
        <v>20211115</v>
      </c>
      <c r="C2126" s="4" t="str">
        <f>"基金赎回拨入"</f>
        <v>基金赎回拨入</v>
      </c>
      <c r="D2126" s="4" t="str">
        <f>"AA0007"</f>
        <v>AA0007</v>
      </c>
      <c r="E2126" s="4" t="str">
        <f>"银河水星1号集合"</f>
        <v>银河水星1号集合</v>
      </c>
      <c r="F2126" s="4">
        <v>0</v>
      </c>
      <c r="G2126" s="4">
        <v>0</v>
      </c>
      <c r="H2126" s="4">
        <v>0</v>
      </c>
      <c r="I2126" s="4">
        <v>0.05</v>
      </c>
      <c r="J2126" s="4">
        <v>20855.24</v>
      </c>
      <c r="K2126" s="4">
        <v>0</v>
      </c>
    </row>
    <row r="2127" spans="1:11">
      <c r="A2127" s="4" t="str">
        <f>"20211115"</f>
        <v>20211115</v>
      </c>
      <c r="B2127" s="4" t="str">
        <f>"20211115"</f>
        <v>20211115</v>
      </c>
      <c r="C2127" s="4" t="str">
        <f t="shared" si="1363"/>
        <v>港股通组合费</v>
      </c>
      <c r="D2127" s="4"/>
      <c r="E2127" s="4"/>
      <c r="F2127" s="4">
        <v>0</v>
      </c>
      <c r="G2127" s="4">
        <v>0</v>
      </c>
      <c r="H2127" s="4">
        <v>0.15</v>
      </c>
      <c r="I2127" s="4">
        <v>-0.15</v>
      </c>
      <c r="J2127" s="4">
        <v>20855.09</v>
      </c>
      <c r="K2127" s="4">
        <v>0</v>
      </c>
    </row>
    <row r="2128" spans="1:11">
      <c r="A2128" s="4" t="str">
        <f t="shared" ref="A2128:A2130" si="1366">"20211116"</f>
        <v>20211116</v>
      </c>
      <c r="B2128" s="4" t="str">
        <f t="shared" ref="B2128:B2130" si="1367">"20211116"</f>
        <v>20211116</v>
      </c>
      <c r="C2128" s="4" t="str">
        <f>"证券卖出"</f>
        <v>证券卖出</v>
      </c>
      <c r="D2128" s="4" t="str">
        <f>"600028"</f>
        <v>600028</v>
      </c>
      <c r="E2128" s="4" t="str">
        <f>"中国石化"</f>
        <v>中国石化</v>
      </c>
      <c r="F2128" s="4">
        <v>4.15</v>
      </c>
      <c r="G2128" s="4">
        <v>3000</v>
      </c>
      <c r="H2128" s="4">
        <v>12450</v>
      </c>
      <c r="I2128" s="4">
        <v>12432.29</v>
      </c>
      <c r="J2128" s="4">
        <v>33287.38</v>
      </c>
      <c r="K2128" s="4">
        <v>0</v>
      </c>
    </row>
    <row r="2129" spans="1:11">
      <c r="A2129" s="4" t="str">
        <f t="shared" si="1366"/>
        <v>20211116</v>
      </c>
      <c r="B2129" s="4" t="str">
        <f t="shared" si="1367"/>
        <v>20211116</v>
      </c>
      <c r="C2129" s="4" t="str">
        <f>"证券买入"</f>
        <v>证券买入</v>
      </c>
      <c r="D2129" s="4" t="str">
        <f>"600028"</f>
        <v>600028</v>
      </c>
      <c r="E2129" s="4" t="str">
        <f>"中国石化"</f>
        <v>中国石化</v>
      </c>
      <c r="F2129" s="4">
        <v>4.1</v>
      </c>
      <c r="G2129" s="4">
        <v>3000</v>
      </c>
      <c r="H2129" s="4">
        <v>12300</v>
      </c>
      <c r="I2129" s="4">
        <v>-12305.25</v>
      </c>
      <c r="J2129" s="4">
        <v>20982.13</v>
      </c>
      <c r="K2129" s="4">
        <v>3000</v>
      </c>
    </row>
    <row r="2130" spans="1:11">
      <c r="A2130" s="4" t="str">
        <f t="shared" si="1366"/>
        <v>20211116</v>
      </c>
      <c r="B2130" s="4" t="str">
        <f t="shared" si="1367"/>
        <v>20211116</v>
      </c>
      <c r="C2130" s="4" t="str">
        <f t="shared" ref="C2130:C2132" si="1368">"港股通组合费"</f>
        <v>港股通组合费</v>
      </c>
      <c r="D2130" s="4"/>
      <c r="E2130" s="4"/>
      <c r="F2130" s="4">
        <v>0</v>
      </c>
      <c r="G2130" s="4">
        <v>0</v>
      </c>
      <c r="H2130" s="4">
        <v>0.05</v>
      </c>
      <c r="I2130" s="4">
        <v>-0.05</v>
      </c>
      <c r="J2130" s="4">
        <v>20982.08</v>
      </c>
      <c r="K2130" s="4">
        <v>0</v>
      </c>
    </row>
    <row r="2131" spans="1:11">
      <c r="A2131" s="4" t="str">
        <f>"20211117"</f>
        <v>20211117</v>
      </c>
      <c r="B2131" s="4" t="str">
        <f>"20211117"</f>
        <v>20211117</v>
      </c>
      <c r="C2131" s="4" t="str">
        <f t="shared" si="1368"/>
        <v>港股通组合费</v>
      </c>
      <c r="D2131" s="4"/>
      <c r="E2131" s="4"/>
      <c r="F2131" s="4">
        <v>0</v>
      </c>
      <c r="G2131" s="4">
        <v>0</v>
      </c>
      <c r="H2131" s="4">
        <v>0.05</v>
      </c>
      <c r="I2131" s="4">
        <v>-0.05</v>
      </c>
      <c r="J2131" s="4">
        <v>20982.03</v>
      </c>
      <c r="K2131" s="4">
        <v>0</v>
      </c>
    </row>
    <row r="2132" spans="1:11">
      <c r="A2132" s="4" t="str">
        <f>"20211118"</f>
        <v>20211118</v>
      </c>
      <c r="B2132" s="4" t="str">
        <f>"20211118"</f>
        <v>20211118</v>
      </c>
      <c r="C2132" s="4" t="str">
        <f t="shared" si="1368"/>
        <v>港股通组合费</v>
      </c>
      <c r="D2132" s="4"/>
      <c r="E2132" s="4"/>
      <c r="F2132" s="4">
        <v>0</v>
      </c>
      <c r="G2132" s="4">
        <v>0</v>
      </c>
      <c r="H2132" s="4">
        <v>0.05</v>
      </c>
      <c r="I2132" s="4">
        <v>-0.05</v>
      </c>
      <c r="J2132" s="4">
        <v>20981.98</v>
      </c>
      <c r="K2132" s="4">
        <v>0</v>
      </c>
    </row>
    <row r="2133" spans="1:11">
      <c r="A2133" s="4" t="str">
        <f t="shared" ref="A2133:A2136" si="1369">"20211119"</f>
        <v>20211119</v>
      </c>
      <c r="B2133" s="4" t="str">
        <f t="shared" ref="B2133:B2136" si="1370">"20211119"</f>
        <v>20211119</v>
      </c>
      <c r="C2133" s="4" t="str">
        <f>"证券转银行"</f>
        <v>证券转银行</v>
      </c>
      <c r="D2133" s="4"/>
      <c r="E2133" s="4"/>
      <c r="F2133" s="4">
        <v>0</v>
      </c>
      <c r="G2133" s="4">
        <v>0</v>
      </c>
      <c r="H2133" s="4">
        <v>0</v>
      </c>
      <c r="I2133" s="4">
        <v>-5000</v>
      </c>
      <c r="J2133" s="4">
        <v>15981.98</v>
      </c>
      <c r="K2133" s="4">
        <v>0</v>
      </c>
    </row>
    <row r="2134" spans="1:11">
      <c r="A2134" s="4" t="str">
        <f t="shared" si="1369"/>
        <v>20211119</v>
      </c>
      <c r="B2134" s="4" t="str">
        <f t="shared" si="1370"/>
        <v>20211119</v>
      </c>
      <c r="C2134" s="4" t="str">
        <f>"基金申购拨出"</f>
        <v>基金申购拨出</v>
      </c>
      <c r="D2134" s="4" t="str">
        <f>"AA0007"</f>
        <v>AA0007</v>
      </c>
      <c r="E2134" s="4" t="str">
        <f>"银河水星1号集合"</f>
        <v>银河水星1号集合</v>
      </c>
      <c r="F2134" s="4">
        <v>0</v>
      </c>
      <c r="G2134" s="4">
        <v>0</v>
      </c>
      <c r="H2134" s="4">
        <v>0</v>
      </c>
      <c r="I2134" s="4">
        <v>-7409.03</v>
      </c>
      <c r="J2134" s="4">
        <v>8572.95</v>
      </c>
      <c r="K2134" s="4">
        <v>0</v>
      </c>
    </row>
    <row r="2135" spans="1:11">
      <c r="A2135" s="4" t="str">
        <f t="shared" si="1369"/>
        <v>20211119</v>
      </c>
      <c r="B2135" s="4" t="str">
        <f t="shared" si="1370"/>
        <v>20211119</v>
      </c>
      <c r="C2135" s="4" t="str">
        <f>"证券卖出"</f>
        <v>证券卖出</v>
      </c>
      <c r="D2135" s="4" t="str">
        <f>"600028"</f>
        <v>600028</v>
      </c>
      <c r="E2135" s="4" t="str">
        <f>"中国石化"</f>
        <v>中国石化</v>
      </c>
      <c r="F2135" s="4">
        <v>4.15</v>
      </c>
      <c r="G2135" s="4">
        <v>3000</v>
      </c>
      <c r="H2135" s="4">
        <v>12450</v>
      </c>
      <c r="I2135" s="4">
        <v>12432.3</v>
      </c>
      <c r="J2135" s="4">
        <v>21005.25</v>
      </c>
      <c r="K2135" s="4">
        <v>0</v>
      </c>
    </row>
    <row r="2136" spans="1:11">
      <c r="A2136" s="4" t="str">
        <f t="shared" si="1369"/>
        <v>20211119</v>
      </c>
      <c r="B2136" s="4" t="str">
        <f t="shared" si="1370"/>
        <v>20211119</v>
      </c>
      <c r="C2136" s="4" t="str">
        <f t="shared" ref="C2136:C2141" si="1371">"港股通组合费"</f>
        <v>港股通组合费</v>
      </c>
      <c r="D2136" s="4"/>
      <c r="E2136" s="4"/>
      <c r="F2136" s="4">
        <v>0</v>
      </c>
      <c r="G2136" s="4">
        <v>0</v>
      </c>
      <c r="H2136" s="4">
        <v>0.05</v>
      </c>
      <c r="I2136" s="4">
        <v>-0.05</v>
      </c>
      <c r="J2136" s="4">
        <v>21005.2</v>
      </c>
      <c r="K2136" s="4">
        <v>0</v>
      </c>
    </row>
    <row r="2137" spans="1:11">
      <c r="A2137" s="4" t="str">
        <f>"20211122"</f>
        <v>20211122</v>
      </c>
      <c r="B2137" s="4" t="str">
        <f>"20211122"</f>
        <v>20211122</v>
      </c>
      <c r="C2137" s="4" t="str">
        <f>"基金赎回拨入"</f>
        <v>基金赎回拨入</v>
      </c>
      <c r="D2137" s="4" t="str">
        <f t="shared" ref="D2137:D2142" si="1372">"AA0007"</f>
        <v>AA0007</v>
      </c>
      <c r="E2137" s="4" t="str">
        <f t="shared" ref="E2137:E2142" si="1373">"银河水星1号集合"</f>
        <v>银河水星1号集合</v>
      </c>
      <c r="F2137" s="4">
        <v>0</v>
      </c>
      <c r="G2137" s="4">
        <v>0</v>
      </c>
      <c r="H2137" s="4">
        <v>0</v>
      </c>
      <c r="I2137" s="4">
        <v>0.05</v>
      </c>
      <c r="J2137" s="4">
        <v>21005.25</v>
      </c>
      <c r="K2137" s="4">
        <v>0</v>
      </c>
    </row>
    <row r="2138" spans="1:11">
      <c r="A2138" s="4" t="str">
        <f>"20211122"</f>
        <v>20211122</v>
      </c>
      <c r="B2138" s="4" t="str">
        <f>"20211122"</f>
        <v>20211122</v>
      </c>
      <c r="C2138" s="4" t="str">
        <f t="shared" si="1371"/>
        <v>港股通组合费</v>
      </c>
      <c r="D2138" s="4"/>
      <c r="E2138" s="4"/>
      <c r="F2138" s="4">
        <v>0</v>
      </c>
      <c r="G2138" s="4">
        <v>0</v>
      </c>
      <c r="H2138" s="4">
        <v>0.15</v>
      </c>
      <c r="I2138" s="4">
        <v>-0.15</v>
      </c>
      <c r="J2138" s="4">
        <v>21005.1</v>
      </c>
      <c r="K2138" s="4">
        <v>0</v>
      </c>
    </row>
    <row r="2139" spans="1:11">
      <c r="A2139" s="4" t="str">
        <f t="shared" ref="A2139:A2141" si="1374">"20211123"</f>
        <v>20211123</v>
      </c>
      <c r="B2139" s="4" t="str">
        <f t="shared" ref="B2139:B2141" si="1375">"20211123"</f>
        <v>20211123</v>
      </c>
      <c r="C2139" s="4" t="str">
        <f>"证券转银行"</f>
        <v>证券转银行</v>
      </c>
      <c r="D2139" s="4"/>
      <c r="E2139" s="4"/>
      <c r="F2139" s="4">
        <v>0</v>
      </c>
      <c r="G2139" s="4">
        <v>0</v>
      </c>
      <c r="H2139" s="4">
        <v>0</v>
      </c>
      <c r="I2139" s="4">
        <v>-200</v>
      </c>
      <c r="J2139" s="4">
        <v>20805.1</v>
      </c>
      <c r="K2139" s="4">
        <v>0</v>
      </c>
    </row>
    <row r="2140" spans="1:11">
      <c r="A2140" s="4" t="str">
        <f t="shared" si="1374"/>
        <v>20211123</v>
      </c>
      <c r="B2140" s="4" t="str">
        <f t="shared" si="1375"/>
        <v>20211123</v>
      </c>
      <c r="C2140" s="4" t="str">
        <f>"基金赎回拨入"</f>
        <v>基金赎回拨入</v>
      </c>
      <c r="D2140" s="4" t="str">
        <f t="shared" si="1372"/>
        <v>AA0007</v>
      </c>
      <c r="E2140" s="4" t="str">
        <f t="shared" si="1373"/>
        <v>银河水星1号集合</v>
      </c>
      <c r="F2140" s="4">
        <v>0</v>
      </c>
      <c r="G2140" s="4">
        <v>200</v>
      </c>
      <c r="H2140" s="4">
        <v>0</v>
      </c>
      <c r="I2140" s="4">
        <v>200.15</v>
      </c>
      <c r="J2140" s="4">
        <v>21005.25</v>
      </c>
      <c r="K2140" s="4">
        <v>0</v>
      </c>
    </row>
    <row r="2141" spans="1:11">
      <c r="A2141" s="4" t="str">
        <f t="shared" si="1374"/>
        <v>20211123</v>
      </c>
      <c r="B2141" s="4" t="str">
        <f t="shared" si="1375"/>
        <v>20211123</v>
      </c>
      <c r="C2141" s="4" t="str">
        <f t="shared" si="1371"/>
        <v>港股通组合费</v>
      </c>
      <c r="D2141" s="4"/>
      <c r="E2141" s="4"/>
      <c r="F2141" s="4">
        <v>0</v>
      </c>
      <c r="G2141" s="4">
        <v>0</v>
      </c>
      <c r="H2141" s="4">
        <v>0.05</v>
      </c>
      <c r="I2141" s="4">
        <v>-0.05</v>
      </c>
      <c r="J2141" s="4">
        <v>21005.2</v>
      </c>
      <c r="K2141" s="4">
        <v>0</v>
      </c>
    </row>
    <row r="2142" spans="1:11">
      <c r="A2142" s="4" t="str">
        <f t="shared" ref="A2142:A2144" si="1376">"20211124"</f>
        <v>20211124</v>
      </c>
      <c r="B2142" s="4" t="str">
        <f t="shared" ref="B2142:B2144" si="1377">"20211124"</f>
        <v>20211124</v>
      </c>
      <c r="C2142" s="4" t="str">
        <f>"基金申购拨出"</f>
        <v>基金申购拨出</v>
      </c>
      <c r="D2142" s="4" t="str">
        <f t="shared" si="1372"/>
        <v>AA0007</v>
      </c>
      <c r="E2142" s="4" t="str">
        <f t="shared" si="1373"/>
        <v>银河水星1号集合</v>
      </c>
      <c r="F2142" s="4">
        <v>0</v>
      </c>
      <c r="G2142" s="4">
        <v>0</v>
      </c>
      <c r="H2142" s="4">
        <v>0</v>
      </c>
      <c r="I2142" s="4">
        <v>-23721.2</v>
      </c>
      <c r="J2142" s="4">
        <v>-2716</v>
      </c>
      <c r="K2142" s="4">
        <v>0</v>
      </c>
    </row>
    <row r="2143" spans="1:11">
      <c r="A2143" s="4" t="str">
        <f t="shared" si="1376"/>
        <v>20211124</v>
      </c>
      <c r="B2143" s="4" t="str">
        <f t="shared" si="1377"/>
        <v>20211124</v>
      </c>
      <c r="C2143" s="4" t="str">
        <f>"证券卖出"</f>
        <v>证券卖出</v>
      </c>
      <c r="D2143" s="4" t="str">
        <f>"000601"</f>
        <v>000601</v>
      </c>
      <c r="E2143" s="4" t="str">
        <f>"韶能股份"</f>
        <v>韶能股份</v>
      </c>
      <c r="F2143" s="4">
        <v>4.75</v>
      </c>
      <c r="G2143" s="4">
        <v>5000</v>
      </c>
      <c r="H2143" s="4">
        <v>23750</v>
      </c>
      <c r="I2143" s="4">
        <v>23721.24</v>
      </c>
      <c r="J2143" s="4">
        <v>21005.24</v>
      </c>
      <c r="K2143" s="4">
        <v>1700</v>
      </c>
    </row>
    <row r="2144" spans="1:11">
      <c r="A2144" s="4" t="str">
        <f t="shared" si="1376"/>
        <v>20211124</v>
      </c>
      <c r="B2144" s="4" t="str">
        <f t="shared" si="1377"/>
        <v>20211124</v>
      </c>
      <c r="C2144" s="4" t="str">
        <f>"港股通组合费"</f>
        <v>港股通组合费</v>
      </c>
      <c r="D2144" s="4"/>
      <c r="E2144" s="4"/>
      <c r="F2144" s="4">
        <v>0</v>
      </c>
      <c r="G2144" s="4">
        <v>0</v>
      </c>
      <c r="H2144" s="4">
        <v>0.05</v>
      </c>
      <c r="I2144" s="4">
        <v>-0.05</v>
      </c>
      <c r="J2144" s="4">
        <v>21005.19</v>
      </c>
      <c r="K2144" s="4">
        <v>0</v>
      </c>
    </row>
    <row r="2145" spans="1:11">
      <c r="A2145" s="4" t="str">
        <f>"20211125"</f>
        <v>20211125</v>
      </c>
      <c r="B2145" s="4" t="str">
        <f>"20211125"</f>
        <v>20211125</v>
      </c>
      <c r="C2145" s="4" t="str">
        <f>"基金赎回拨入"</f>
        <v>基金赎回拨入</v>
      </c>
      <c r="D2145" s="4" t="str">
        <f>"AA0007"</f>
        <v>AA0007</v>
      </c>
      <c r="E2145" s="4" t="str">
        <f>"银河水星1号集合"</f>
        <v>银河水星1号集合</v>
      </c>
      <c r="F2145" s="4">
        <v>0</v>
      </c>
      <c r="G2145" s="4">
        <v>0</v>
      </c>
      <c r="H2145" s="4">
        <v>0</v>
      </c>
      <c r="I2145" s="4">
        <v>0.06</v>
      </c>
      <c r="J2145" s="4">
        <v>21005.25</v>
      </c>
      <c r="K2145" s="4">
        <v>0</v>
      </c>
    </row>
    <row r="2146" spans="1:11">
      <c r="A2146" s="4" t="str">
        <f>"20211125"</f>
        <v>20211125</v>
      </c>
      <c r="B2146" s="4" t="str">
        <f>"20211125"</f>
        <v>20211125</v>
      </c>
      <c r="C2146" s="4" t="str">
        <f>"港股通组合费"</f>
        <v>港股通组合费</v>
      </c>
      <c r="D2146" s="4"/>
      <c r="E2146" s="4"/>
      <c r="F2146" s="4">
        <v>0</v>
      </c>
      <c r="G2146" s="4">
        <v>0</v>
      </c>
      <c r="H2146" s="4">
        <v>0.05</v>
      </c>
      <c r="I2146" s="4">
        <v>-0.05</v>
      </c>
      <c r="J2146" s="4">
        <v>21005.2</v>
      </c>
      <c r="K2146" s="4">
        <v>0</v>
      </c>
    </row>
    <row r="2147" spans="1:11">
      <c r="A2147" s="4" t="str">
        <f t="shared" ref="A2147:A2150" si="1378">"20211126"</f>
        <v>20211126</v>
      </c>
      <c r="B2147" s="4" t="str">
        <f t="shared" ref="B2147:B2150" si="1379">"20211126"</f>
        <v>20211126</v>
      </c>
      <c r="C2147" s="4" t="str">
        <f>"证券转银行"</f>
        <v>证券转银行</v>
      </c>
      <c r="D2147" s="4"/>
      <c r="E2147" s="4"/>
      <c r="F2147" s="4">
        <v>0</v>
      </c>
      <c r="G2147" s="4">
        <v>0</v>
      </c>
      <c r="H2147" s="4">
        <v>0</v>
      </c>
      <c r="I2147" s="4">
        <v>-500</v>
      </c>
      <c r="J2147" s="4">
        <v>20505.2</v>
      </c>
      <c r="K2147" s="4">
        <v>0</v>
      </c>
    </row>
    <row r="2148" spans="1:11">
      <c r="A2148" s="4" t="str">
        <f t="shared" si="1378"/>
        <v>20211126</v>
      </c>
      <c r="B2148" s="4" t="str">
        <f t="shared" si="1379"/>
        <v>20211126</v>
      </c>
      <c r="C2148" s="4" t="str">
        <f>"基金赎回拨入"</f>
        <v>基金赎回拨入</v>
      </c>
      <c r="D2148" s="4" t="str">
        <f>"AA0007"</f>
        <v>AA0007</v>
      </c>
      <c r="E2148" s="4" t="str">
        <f>"银河水星1号集合"</f>
        <v>银河水星1号集合</v>
      </c>
      <c r="F2148" s="4">
        <v>0</v>
      </c>
      <c r="G2148" s="4">
        <v>12625</v>
      </c>
      <c r="H2148" s="4">
        <v>0</v>
      </c>
      <c r="I2148" s="4">
        <v>12625.29</v>
      </c>
      <c r="J2148" s="4">
        <v>33130.49</v>
      </c>
      <c r="K2148" s="4">
        <v>0</v>
      </c>
    </row>
    <row r="2149" spans="1:11">
      <c r="A2149" s="4" t="str">
        <f t="shared" si="1378"/>
        <v>20211126</v>
      </c>
      <c r="B2149" s="4" t="str">
        <f t="shared" si="1379"/>
        <v>20211126</v>
      </c>
      <c r="C2149" s="4" t="str">
        <f>"证券买入"</f>
        <v>证券买入</v>
      </c>
      <c r="D2149" s="4" t="str">
        <f t="shared" ref="D2149:D2155" si="1380">"600028"</f>
        <v>600028</v>
      </c>
      <c r="E2149" s="4" t="str">
        <f t="shared" ref="E2149:E2155" si="1381">"中国石化"</f>
        <v>中国石化</v>
      </c>
      <c r="F2149" s="4">
        <v>4.09</v>
      </c>
      <c r="G2149" s="4">
        <v>3000</v>
      </c>
      <c r="H2149" s="4">
        <v>12270</v>
      </c>
      <c r="I2149" s="4">
        <v>-12275.24</v>
      </c>
      <c r="J2149" s="4">
        <v>20855.25</v>
      </c>
      <c r="K2149" s="4">
        <v>3000</v>
      </c>
    </row>
    <row r="2150" spans="1:11">
      <c r="A2150" s="4" t="str">
        <f t="shared" si="1378"/>
        <v>20211126</v>
      </c>
      <c r="B2150" s="4" t="str">
        <f t="shared" si="1379"/>
        <v>20211126</v>
      </c>
      <c r="C2150" s="4" t="str">
        <f>"港股通组合费"</f>
        <v>港股通组合费</v>
      </c>
      <c r="D2150" s="4"/>
      <c r="E2150" s="4"/>
      <c r="F2150" s="4">
        <v>0</v>
      </c>
      <c r="G2150" s="4">
        <v>0</v>
      </c>
      <c r="H2150" s="4">
        <v>0.05</v>
      </c>
      <c r="I2150" s="4">
        <v>-0.05</v>
      </c>
      <c r="J2150" s="4">
        <v>20855.2</v>
      </c>
      <c r="K2150" s="4">
        <v>0</v>
      </c>
    </row>
    <row r="2151" spans="1:11">
      <c r="A2151" s="4" t="str">
        <f t="shared" ref="A2151:A2153" si="1382">"20211129"</f>
        <v>20211129</v>
      </c>
      <c r="B2151" s="4" t="str">
        <f t="shared" ref="B2151:B2153" si="1383">"20211129"</f>
        <v>20211129</v>
      </c>
      <c r="C2151" s="4" t="str">
        <f>"基金赎回拨入"</f>
        <v>基金赎回拨入</v>
      </c>
      <c r="D2151" s="4" t="str">
        <f>"AA0007"</f>
        <v>AA0007</v>
      </c>
      <c r="E2151" s="4" t="str">
        <f>"银河水星1号集合"</f>
        <v>银河水星1号集合</v>
      </c>
      <c r="F2151" s="4">
        <v>0</v>
      </c>
      <c r="G2151" s="4">
        <v>11825</v>
      </c>
      <c r="H2151" s="4">
        <v>0</v>
      </c>
      <c r="I2151" s="4">
        <v>11825.28</v>
      </c>
      <c r="J2151" s="4">
        <v>32680.48</v>
      </c>
      <c r="K2151" s="4">
        <v>0</v>
      </c>
    </row>
    <row r="2152" spans="1:11">
      <c r="A2152" s="4" t="str">
        <f t="shared" si="1382"/>
        <v>20211129</v>
      </c>
      <c r="B2152" s="4" t="str">
        <f t="shared" si="1383"/>
        <v>20211129</v>
      </c>
      <c r="C2152" s="4" t="str">
        <f>"证券买入"</f>
        <v>证券买入</v>
      </c>
      <c r="D2152" s="4" t="str">
        <f t="shared" si="1380"/>
        <v>600028</v>
      </c>
      <c r="E2152" s="4" t="str">
        <f t="shared" si="1381"/>
        <v>中国石化</v>
      </c>
      <c r="F2152" s="4">
        <v>4.02</v>
      </c>
      <c r="G2152" s="4">
        <v>3000</v>
      </c>
      <c r="H2152" s="4">
        <v>12060</v>
      </c>
      <c r="I2152" s="4">
        <v>-12065.24</v>
      </c>
      <c r="J2152" s="4">
        <v>20615.24</v>
      </c>
      <c r="K2152" s="4">
        <v>6000</v>
      </c>
    </row>
    <row r="2153" spans="1:11">
      <c r="A2153" s="4" t="str">
        <f t="shared" si="1382"/>
        <v>20211129</v>
      </c>
      <c r="B2153" s="4" t="str">
        <f t="shared" si="1383"/>
        <v>20211129</v>
      </c>
      <c r="C2153" s="4" t="str">
        <f>"港股通组合费"</f>
        <v>港股通组合费</v>
      </c>
      <c r="D2153" s="4"/>
      <c r="E2153" s="4"/>
      <c r="F2153" s="4">
        <v>0</v>
      </c>
      <c r="G2153" s="4">
        <v>0</v>
      </c>
      <c r="H2153" s="4">
        <v>0.15</v>
      </c>
      <c r="I2153" s="4">
        <v>-0.15</v>
      </c>
      <c r="J2153" s="4">
        <v>20615.09</v>
      </c>
      <c r="K2153" s="4">
        <v>0</v>
      </c>
    </row>
    <row r="2154" spans="1:11">
      <c r="A2154" s="4" t="str">
        <f t="shared" ref="A2154:A2156" si="1384">"20211130"</f>
        <v>20211130</v>
      </c>
      <c r="B2154" s="4" t="str">
        <f t="shared" ref="B2154:B2156" si="1385">"20211130"</f>
        <v>20211130</v>
      </c>
      <c r="C2154" s="4" t="str">
        <f t="shared" ref="C2154:C2159" si="1386">"证券卖出"</f>
        <v>证券卖出</v>
      </c>
      <c r="D2154" s="4" t="str">
        <f t="shared" si="1380"/>
        <v>600028</v>
      </c>
      <c r="E2154" s="4" t="str">
        <f t="shared" si="1381"/>
        <v>中国石化</v>
      </c>
      <c r="F2154" s="4">
        <v>4.07</v>
      </c>
      <c r="G2154" s="4">
        <v>3000</v>
      </c>
      <c r="H2154" s="4">
        <v>12210</v>
      </c>
      <c r="I2154" s="4">
        <v>12192.55</v>
      </c>
      <c r="J2154" s="4">
        <v>32807.64</v>
      </c>
      <c r="K2154" s="4">
        <v>3000</v>
      </c>
    </row>
    <row r="2155" spans="1:11">
      <c r="A2155" s="4" t="str">
        <f t="shared" si="1384"/>
        <v>20211130</v>
      </c>
      <c r="B2155" s="4" t="str">
        <f t="shared" si="1385"/>
        <v>20211130</v>
      </c>
      <c r="C2155" s="4" t="str">
        <f>"证券买入"</f>
        <v>证券买入</v>
      </c>
      <c r="D2155" s="4" t="str">
        <f t="shared" si="1380"/>
        <v>600028</v>
      </c>
      <c r="E2155" s="4" t="str">
        <f t="shared" si="1381"/>
        <v>中国石化</v>
      </c>
      <c r="F2155" s="4">
        <v>4.04</v>
      </c>
      <c r="G2155" s="4">
        <v>3000</v>
      </c>
      <c r="H2155" s="4">
        <v>12120</v>
      </c>
      <c r="I2155" s="4">
        <v>-12125.24</v>
      </c>
      <c r="J2155" s="4">
        <v>20682.4</v>
      </c>
      <c r="K2155" s="4">
        <v>6000</v>
      </c>
    </row>
    <row r="2156" spans="1:11">
      <c r="A2156" s="4" t="str">
        <f t="shared" si="1384"/>
        <v>20211130</v>
      </c>
      <c r="B2156" s="4" t="str">
        <f t="shared" si="1385"/>
        <v>20211130</v>
      </c>
      <c r="C2156" s="4" t="str">
        <f>"港股通组合费"</f>
        <v>港股通组合费</v>
      </c>
      <c r="D2156" s="4"/>
      <c r="E2156" s="4"/>
      <c r="F2156" s="4">
        <v>0</v>
      </c>
      <c r="G2156" s="4">
        <v>0</v>
      </c>
      <c r="H2156" s="4">
        <v>0.04</v>
      </c>
      <c r="I2156" s="4">
        <v>-0.04</v>
      </c>
      <c r="J2156" s="4">
        <v>20682.36</v>
      </c>
      <c r="K2156" s="4">
        <v>0</v>
      </c>
    </row>
    <row r="2157" spans="1:11">
      <c r="A2157" s="4" t="str">
        <f t="shared" ref="A2157:A2160" si="1387">"20211201"</f>
        <v>20211201</v>
      </c>
      <c r="B2157" s="4" t="str">
        <f t="shared" ref="B2157:B2160" si="1388">"20211201"</f>
        <v>20211201</v>
      </c>
      <c r="C2157" s="4" t="str">
        <f>"基金申购拨出"</f>
        <v>基金申购拨出</v>
      </c>
      <c r="D2157" s="4" t="str">
        <f>"AA0007"</f>
        <v>AA0007</v>
      </c>
      <c r="E2157" s="4" t="str">
        <f>"银河水星1号集合"</f>
        <v>银河水星1号集合</v>
      </c>
      <c r="F2157" s="4">
        <v>0</v>
      </c>
      <c r="G2157" s="4">
        <v>0</v>
      </c>
      <c r="H2157" s="4">
        <v>0</v>
      </c>
      <c r="I2157" s="4">
        <v>-24361.92</v>
      </c>
      <c r="J2157" s="4">
        <v>-3679.56</v>
      </c>
      <c r="K2157" s="4">
        <v>0</v>
      </c>
    </row>
    <row r="2158" spans="1:11">
      <c r="A2158" s="4" t="str">
        <f t="shared" si="1387"/>
        <v>20211201</v>
      </c>
      <c r="B2158" s="4" t="str">
        <f t="shared" si="1388"/>
        <v>20211201</v>
      </c>
      <c r="C2158" s="4" t="str">
        <f t="shared" si="1386"/>
        <v>证券卖出</v>
      </c>
      <c r="D2158" s="4" t="str">
        <f>"600028"</f>
        <v>600028</v>
      </c>
      <c r="E2158" s="4" t="str">
        <f>"中国石化"</f>
        <v>中国石化</v>
      </c>
      <c r="F2158" s="4">
        <v>4.09</v>
      </c>
      <c r="G2158" s="4">
        <v>3000</v>
      </c>
      <c r="H2158" s="4">
        <v>12270</v>
      </c>
      <c r="I2158" s="4">
        <v>12252.48</v>
      </c>
      <c r="J2158" s="4">
        <v>8572.92</v>
      </c>
      <c r="K2158" s="4">
        <v>3000</v>
      </c>
    </row>
    <row r="2159" spans="1:11">
      <c r="A2159" s="4" t="str">
        <f t="shared" si="1387"/>
        <v>20211201</v>
      </c>
      <c r="B2159" s="4" t="str">
        <f t="shared" si="1388"/>
        <v>20211201</v>
      </c>
      <c r="C2159" s="4" t="str">
        <f t="shared" si="1386"/>
        <v>证券卖出</v>
      </c>
      <c r="D2159" s="4" t="str">
        <f>"600028"</f>
        <v>600028</v>
      </c>
      <c r="E2159" s="4" t="str">
        <f>"中国石化"</f>
        <v>中国石化</v>
      </c>
      <c r="F2159" s="4">
        <v>4.14</v>
      </c>
      <c r="G2159" s="4">
        <v>3000</v>
      </c>
      <c r="H2159" s="4">
        <v>12420</v>
      </c>
      <c r="I2159" s="4">
        <v>12402.33</v>
      </c>
      <c r="J2159" s="4">
        <v>20975.25</v>
      </c>
      <c r="K2159" s="4">
        <v>0</v>
      </c>
    </row>
    <row r="2160" spans="1:11">
      <c r="A2160" s="4" t="str">
        <f t="shared" si="1387"/>
        <v>20211201</v>
      </c>
      <c r="B2160" s="4" t="str">
        <f t="shared" si="1388"/>
        <v>20211201</v>
      </c>
      <c r="C2160" s="4" t="str">
        <f t="shared" ref="C2160:C2164" si="1389">"港股通组合费"</f>
        <v>港股通组合费</v>
      </c>
      <c r="D2160" s="4"/>
      <c r="E2160" s="4"/>
      <c r="F2160" s="4">
        <v>0</v>
      </c>
      <c r="G2160" s="4">
        <v>0</v>
      </c>
      <c r="H2160" s="4">
        <v>0.04</v>
      </c>
      <c r="I2160" s="4">
        <v>-0.04</v>
      </c>
      <c r="J2160" s="4">
        <v>20975.21</v>
      </c>
      <c r="K2160" s="4">
        <v>0</v>
      </c>
    </row>
    <row r="2161" spans="1:11">
      <c r="A2161" s="4" t="str">
        <f>"20211202"</f>
        <v>20211202</v>
      </c>
      <c r="B2161" s="4" t="str">
        <f>"20211202"</f>
        <v>20211202</v>
      </c>
      <c r="C2161" s="4" t="str">
        <f t="shared" ref="C2161:C2165" si="1390">"基金赎回拨入"</f>
        <v>基金赎回拨入</v>
      </c>
      <c r="D2161" s="4" t="str">
        <f t="shared" ref="D2161:D2165" si="1391">"AA0007"</f>
        <v>AA0007</v>
      </c>
      <c r="E2161" s="4" t="str">
        <f t="shared" ref="E2161:E2165" si="1392">"银河水星1号集合"</f>
        <v>银河水星1号集合</v>
      </c>
      <c r="F2161" s="4">
        <v>0</v>
      </c>
      <c r="G2161" s="4">
        <v>0</v>
      </c>
      <c r="H2161" s="4">
        <v>0</v>
      </c>
      <c r="I2161" s="4">
        <v>0.04</v>
      </c>
      <c r="J2161" s="4">
        <v>20975.25</v>
      </c>
      <c r="K2161" s="4">
        <v>0</v>
      </c>
    </row>
    <row r="2162" spans="1:11">
      <c r="A2162" s="4" t="str">
        <f>"20211202"</f>
        <v>20211202</v>
      </c>
      <c r="B2162" s="4" t="str">
        <f>"20211202"</f>
        <v>20211202</v>
      </c>
      <c r="C2162" s="4" t="str">
        <f t="shared" si="1389"/>
        <v>港股通组合费</v>
      </c>
      <c r="D2162" s="4"/>
      <c r="E2162" s="4"/>
      <c r="F2162" s="4">
        <v>0</v>
      </c>
      <c r="G2162" s="4">
        <v>0</v>
      </c>
      <c r="H2162" s="4">
        <v>0.04</v>
      </c>
      <c r="I2162" s="4">
        <v>-0.04</v>
      </c>
      <c r="J2162" s="4">
        <v>20975.21</v>
      </c>
      <c r="K2162" s="4">
        <v>0</v>
      </c>
    </row>
    <row r="2163" spans="1:11">
      <c r="A2163" s="4" t="str">
        <f>"20211203"</f>
        <v>20211203</v>
      </c>
      <c r="B2163" s="4" t="str">
        <f>"20211203"</f>
        <v>20211203</v>
      </c>
      <c r="C2163" s="4" t="str">
        <f t="shared" si="1390"/>
        <v>基金赎回拨入</v>
      </c>
      <c r="D2163" s="4" t="str">
        <f t="shared" si="1391"/>
        <v>AA0007</v>
      </c>
      <c r="E2163" s="4" t="str">
        <f t="shared" si="1392"/>
        <v>银河水星1号集合</v>
      </c>
      <c r="F2163" s="4">
        <v>0</v>
      </c>
      <c r="G2163" s="4">
        <v>0</v>
      </c>
      <c r="H2163" s="4">
        <v>0</v>
      </c>
      <c r="I2163" s="4">
        <v>0.04</v>
      </c>
      <c r="J2163" s="4">
        <v>20975.25</v>
      </c>
      <c r="K2163" s="4">
        <v>0</v>
      </c>
    </row>
    <row r="2164" spans="1:11">
      <c r="A2164" s="4" t="str">
        <f>"20211203"</f>
        <v>20211203</v>
      </c>
      <c r="B2164" s="4" t="str">
        <f>"20211203"</f>
        <v>20211203</v>
      </c>
      <c r="C2164" s="4" t="str">
        <f t="shared" si="1389"/>
        <v>港股通组合费</v>
      </c>
      <c r="D2164" s="4"/>
      <c r="E2164" s="4"/>
      <c r="F2164" s="4">
        <v>0</v>
      </c>
      <c r="G2164" s="4">
        <v>0</v>
      </c>
      <c r="H2164" s="4">
        <v>0.04</v>
      </c>
      <c r="I2164" s="4">
        <v>-0.04</v>
      </c>
      <c r="J2164" s="4">
        <v>20975.21</v>
      </c>
      <c r="K2164" s="4">
        <v>0</v>
      </c>
    </row>
    <row r="2165" spans="1:11">
      <c r="A2165" s="4" t="str">
        <f t="shared" ref="A2165:A2167" si="1393">"20211206"</f>
        <v>20211206</v>
      </c>
      <c r="B2165" s="4" t="str">
        <f t="shared" ref="B2165:B2167" si="1394">"20211206"</f>
        <v>20211206</v>
      </c>
      <c r="C2165" s="4" t="str">
        <f t="shared" si="1390"/>
        <v>基金赎回拨入</v>
      </c>
      <c r="D2165" s="4" t="str">
        <f t="shared" si="1391"/>
        <v>AA0007</v>
      </c>
      <c r="E2165" s="4" t="str">
        <f t="shared" si="1392"/>
        <v>银河水星1号集合</v>
      </c>
      <c r="F2165" s="4">
        <v>0</v>
      </c>
      <c r="G2165" s="4">
        <v>8555</v>
      </c>
      <c r="H2165" s="4">
        <v>0</v>
      </c>
      <c r="I2165" s="4">
        <v>8555.04</v>
      </c>
      <c r="J2165" s="4">
        <v>29530.25</v>
      </c>
      <c r="K2165" s="4">
        <v>0</v>
      </c>
    </row>
    <row r="2166" spans="1:11">
      <c r="A2166" s="4" t="str">
        <f t="shared" si="1393"/>
        <v>20211206</v>
      </c>
      <c r="B2166" s="4" t="str">
        <f t="shared" si="1394"/>
        <v>20211206</v>
      </c>
      <c r="C2166" s="4" t="str">
        <f>"证券买入"</f>
        <v>证券买入</v>
      </c>
      <c r="D2166" s="4" t="str">
        <f>"159781"</f>
        <v>159781</v>
      </c>
      <c r="E2166" s="4" t="str">
        <f>"科创创业"</f>
        <v>科创创业</v>
      </c>
      <c r="F2166" s="4">
        <v>0.869</v>
      </c>
      <c r="G2166" s="4">
        <v>10000</v>
      </c>
      <c r="H2166" s="4">
        <v>8690</v>
      </c>
      <c r="I2166" s="4">
        <v>-8695</v>
      </c>
      <c r="J2166" s="4">
        <v>20835.25</v>
      </c>
      <c r="K2166" s="4">
        <v>10000</v>
      </c>
    </row>
    <row r="2167" spans="1:11">
      <c r="A2167" s="4" t="str">
        <f t="shared" si="1393"/>
        <v>20211206</v>
      </c>
      <c r="B2167" s="4" t="str">
        <f t="shared" si="1394"/>
        <v>20211206</v>
      </c>
      <c r="C2167" s="4" t="str">
        <f>"港股通组合费"</f>
        <v>港股通组合费</v>
      </c>
      <c r="D2167" s="4"/>
      <c r="E2167" s="4"/>
      <c r="F2167" s="4">
        <v>0</v>
      </c>
      <c r="G2167" s="4">
        <v>0</v>
      </c>
      <c r="H2167" s="4">
        <v>0.15</v>
      </c>
      <c r="I2167" s="4">
        <v>-0.15</v>
      </c>
      <c r="J2167" s="4">
        <v>20835.1</v>
      </c>
      <c r="K2167" s="4">
        <v>0</v>
      </c>
    </row>
    <row r="2168" spans="1:11">
      <c r="A2168" s="4" t="str">
        <f t="shared" ref="A2168:A2170" si="1395">"20211207"</f>
        <v>20211207</v>
      </c>
      <c r="B2168" s="4" t="str">
        <f t="shared" ref="B2168:B2170" si="1396">"20211207"</f>
        <v>20211207</v>
      </c>
      <c r="C2168" s="4" t="str">
        <f>"基金赎回拨入"</f>
        <v>基金赎回拨入</v>
      </c>
      <c r="D2168" s="4" t="str">
        <f>"AA0007"</f>
        <v>AA0007</v>
      </c>
      <c r="E2168" s="4" t="str">
        <f>"银河水星1号集合"</f>
        <v>银河水星1号集合</v>
      </c>
      <c r="F2168" s="4">
        <v>0</v>
      </c>
      <c r="G2168" s="4">
        <v>8415</v>
      </c>
      <c r="H2168" s="4">
        <v>0</v>
      </c>
      <c r="I2168" s="4">
        <v>8415.15</v>
      </c>
      <c r="J2168" s="4">
        <v>29250.25</v>
      </c>
      <c r="K2168" s="4">
        <v>0</v>
      </c>
    </row>
    <row r="2169" spans="1:11">
      <c r="A2169" s="4" t="str">
        <f t="shared" si="1395"/>
        <v>20211207</v>
      </c>
      <c r="B2169" s="4" t="str">
        <f t="shared" si="1396"/>
        <v>20211207</v>
      </c>
      <c r="C2169" s="4" t="str">
        <f>"证券买入"</f>
        <v>证券买入</v>
      </c>
      <c r="D2169" s="4" t="str">
        <f>"159781"</f>
        <v>159781</v>
      </c>
      <c r="E2169" s="4" t="str">
        <f>"科创创业"</f>
        <v>科创创业</v>
      </c>
      <c r="F2169" s="4">
        <v>0.855</v>
      </c>
      <c r="G2169" s="4">
        <v>10000</v>
      </c>
      <c r="H2169" s="4">
        <v>8550</v>
      </c>
      <c r="I2169" s="4">
        <v>-8555</v>
      </c>
      <c r="J2169" s="4">
        <v>20695.25</v>
      </c>
      <c r="K2169" s="4">
        <v>20000</v>
      </c>
    </row>
    <row r="2170" spans="1:11">
      <c r="A2170" s="4" t="str">
        <f t="shared" si="1395"/>
        <v>20211207</v>
      </c>
      <c r="B2170" s="4" t="str">
        <f t="shared" si="1396"/>
        <v>20211207</v>
      </c>
      <c r="C2170" s="4" t="str">
        <f>"港股通组合费"</f>
        <v>港股通组合费</v>
      </c>
      <c r="D2170" s="4"/>
      <c r="E2170" s="4"/>
      <c r="F2170" s="4">
        <v>0</v>
      </c>
      <c r="G2170" s="4">
        <v>0</v>
      </c>
      <c r="H2170" s="4">
        <v>0.05</v>
      </c>
      <c r="I2170" s="4">
        <v>-0.05</v>
      </c>
      <c r="J2170" s="4">
        <v>20695.2</v>
      </c>
      <c r="K2170" s="4">
        <v>0</v>
      </c>
    </row>
    <row r="2171" spans="1:11">
      <c r="A2171" s="4" t="str">
        <f t="shared" ref="A2171:A2175" si="1397">"20211208"</f>
        <v>20211208</v>
      </c>
      <c r="B2171" s="4" t="str">
        <f t="shared" ref="B2171:B2175" si="1398">"20211208"</f>
        <v>20211208</v>
      </c>
      <c r="C2171" s="4" t="str">
        <f>"证券转银行"</f>
        <v>证券转银行</v>
      </c>
      <c r="D2171" s="4"/>
      <c r="E2171" s="4"/>
      <c r="F2171" s="4">
        <v>0</v>
      </c>
      <c r="G2171" s="4">
        <v>0</v>
      </c>
      <c r="H2171" s="4">
        <v>0</v>
      </c>
      <c r="I2171" s="4">
        <v>-500</v>
      </c>
      <c r="J2171" s="4">
        <v>20195.2</v>
      </c>
      <c r="K2171" s="4">
        <v>0</v>
      </c>
    </row>
    <row r="2172" spans="1:11">
      <c r="A2172" s="4" t="str">
        <f t="shared" si="1397"/>
        <v>20211208</v>
      </c>
      <c r="B2172" s="4" t="str">
        <f t="shared" si="1398"/>
        <v>20211208</v>
      </c>
      <c r="C2172" s="4" t="str">
        <f>"证券转银行"</f>
        <v>证券转银行</v>
      </c>
      <c r="D2172" s="4"/>
      <c r="E2172" s="4"/>
      <c r="F2172" s="4">
        <v>0</v>
      </c>
      <c r="G2172" s="4">
        <v>0</v>
      </c>
      <c r="H2172" s="4">
        <v>0</v>
      </c>
      <c r="I2172" s="4">
        <v>-500</v>
      </c>
      <c r="J2172" s="4">
        <v>19695.2</v>
      </c>
      <c r="K2172" s="4">
        <v>0</v>
      </c>
    </row>
    <row r="2173" spans="1:11">
      <c r="A2173" s="4" t="str">
        <f t="shared" si="1397"/>
        <v>20211208</v>
      </c>
      <c r="B2173" s="4" t="str">
        <f t="shared" si="1398"/>
        <v>20211208</v>
      </c>
      <c r="C2173" s="4" t="str">
        <f>"基金申购拨出"</f>
        <v>基金申购拨出</v>
      </c>
      <c r="D2173" s="4" t="str">
        <f>"AA0007"</f>
        <v>AA0007</v>
      </c>
      <c r="E2173" s="4" t="str">
        <f>"银河水星1号集合"</f>
        <v>银河水星1号集合</v>
      </c>
      <c r="F2173" s="4">
        <v>0</v>
      </c>
      <c r="G2173" s="4">
        <v>0</v>
      </c>
      <c r="H2173" s="4">
        <v>0</v>
      </c>
      <c r="I2173" s="4">
        <v>-7544.95</v>
      </c>
      <c r="J2173" s="4">
        <v>12150.25</v>
      </c>
      <c r="K2173" s="4">
        <v>0</v>
      </c>
    </row>
    <row r="2174" spans="1:11">
      <c r="A2174" s="4" t="str">
        <f t="shared" si="1397"/>
        <v>20211208</v>
      </c>
      <c r="B2174" s="4" t="str">
        <f t="shared" si="1398"/>
        <v>20211208</v>
      </c>
      <c r="C2174" s="4" t="str">
        <f>"证券卖出"</f>
        <v>证券卖出</v>
      </c>
      <c r="D2174" s="4" t="str">
        <f>"159781"</f>
        <v>159781</v>
      </c>
      <c r="E2174" s="4" t="str">
        <f>"科创创业"</f>
        <v>科创创业</v>
      </c>
      <c r="F2174" s="4">
        <v>0.869</v>
      </c>
      <c r="G2174" s="4">
        <v>10000</v>
      </c>
      <c r="H2174" s="4">
        <v>8690</v>
      </c>
      <c r="I2174" s="4">
        <v>8685</v>
      </c>
      <c r="J2174" s="4">
        <v>20835.25</v>
      </c>
      <c r="K2174" s="4">
        <v>10000</v>
      </c>
    </row>
    <row r="2175" spans="1:11">
      <c r="A2175" s="4" t="str">
        <f t="shared" si="1397"/>
        <v>20211208</v>
      </c>
      <c r="B2175" s="4" t="str">
        <f t="shared" si="1398"/>
        <v>20211208</v>
      </c>
      <c r="C2175" s="4" t="str">
        <f t="shared" ref="C2175:C2180" si="1399">"港股通组合费"</f>
        <v>港股通组合费</v>
      </c>
      <c r="D2175" s="4"/>
      <c r="E2175" s="4"/>
      <c r="F2175" s="4">
        <v>0</v>
      </c>
      <c r="G2175" s="4">
        <v>0</v>
      </c>
      <c r="H2175" s="4">
        <v>0.05</v>
      </c>
      <c r="I2175" s="4">
        <v>-0.05</v>
      </c>
      <c r="J2175" s="4">
        <v>20835.2</v>
      </c>
      <c r="K2175" s="4">
        <v>0</v>
      </c>
    </row>
    <row r="2176" spans="1:11">
      <c r="A2176" s="4" t="str">
        <f t="shared" ref="A2176:A2178" si="1400">"20211209"</f>
        <v>20211209</v>
      </c>
      <c r="B2176" s="4" t="str">
        <f t="shared" ref="B2176:B2178" si="1401">"20211209"</f>
        <v>20211209</v>
      </c>
      <c r="C2176" s="4" t="str">
        <f>"基金申购拨出"</f>
        <v>基金申购拨出</v>
      </c>
      <c r="D2176" s="4" t="str">
        <f>"AA0007"</f>
        <v>AA0007</v>
      </c>
      <c r="E2176" s="4" t="str">
        <f>"银河水星1号集合"</f>
        <v>银河水星1号集合</v>
      </c>
      <c r="F2176" s="4">
        <v>0</v>
      </c>
      <c r="G2176" s="4">
        <v>0</v>
      </c>
      <c r="H2176" s="4">
        <v>0</v>
      </c>
      <c r="I2176" s="4">
        <v>-5198.95</v>
      </c>
      <c r="J2176" s="4">
        <v>15636.25</v>
      </c>
      <c r="K2176" s="4">
        <v>0</v>
      </c>
    </row>
    <row r="2177" spans="1:11">
      <c r="A2177" s="4" t="str">
        <f t="shared" si="1400"/>
        <v>20211209</v>
      </c>
      <c r="B2177" s="4" t="str">
        <f t="shared" si="1401"/>
        <v>20211209</v>
      </c>
      <c r="C2177" s="4" t="str">
        <f>"证券卖出"</f>
        <v>证券卖出</v>
      </c>
      <c r="D2177" s="4" t="str">
        <f>"159781"</f>
        <v>159781</v>
      </c>
      <c r="E2177" s="4" t="str">
        <f>"科创创业"</f>
        <v>科创创业</v>
      </c>
      <c r="F2177" s="4">
        <v>0.882</v>
      </c>
      <c r="G2177" s="4">
        <v>10000</v>
      </c>
      <c r="H2177" s="4">
        <v>8820</v>
      </c>
      <c r="I2177" s="4">
        <v>8815</v>
      </c>
      <c r="J2177" s="4">
        <v>24451.25</v>
      </c>
      <c r="K2177" s="4">
        <v>0</v>
      </c>
    </row>
    <row r="2178" spans="1:11">
      <c r="A2178" s="4" t="str">
        <f t="shared" si="1400"/>
        <v>20211209</v>
      </c>
      <c r="B2178" s="4" t="str">
        <f t="shared" si="1401"/>
        <v>20211209</v>
      </c>
      <c r="C2178" s="4" t="str">
        <f t="shared" si="1399"/>
        <v>港股通组合费</v>
      </c>
      <c r="D2178" s="4"/>
      <c r="E2178" s="4"/>
      <c r="F2178" s="4">
        <v>0</v>
      </c>
      <c r="G2178" s="4">
        <v>0</v>
      </c>
      <c r="H2178" s="4">
        <v>0.05</v>
      </c>
      <c r="I2178" s="4">
        <v>-0.05</v>
      </c>
      <c r="J2178" s="4">
        <v>24451.2</v>
      </c>
      <c r="K2178" s="4">
        <v>0</v>
      </c>
    </row>
    <row r="2179" spans="1:11">
      <c r="A2179" s="4" t="str">
        <f>"20211210"</f>
        <v>20211210</v>
      </c>
      <c r="B2179" s="4" t="str">
        <f>"20211210"</f>
        <v>20211210</v>
      </c>
      <c r="C2179" s="4" t="str">
        <f>"基金赎回拨入"</f>
        <v>基金赎回拨入</v>
      </c>
      <c r="D2179" s="4" t="str">
        <f>"AA0007"</f>
        <v>AA0007</v>
      </c>
      <c r="E2179" s="4" t="str">
        <f>"银河水星1号"</f>
        <v>银河水星1号</v>
      </c>
      <c r="F2179" s="4">
        <v>0</v>
      </c>
      <c r="G2179" s="4">
        <v>0</v>
      </c>
      <c r="H2179" s="4">
        <v>0</v>
      </c>
      <c r="I2179" s="4">
        <v>0.05</v>
      </c>
      <c r="J2179" s="4">
        <v>24451.25</v>
      </c>
      <c r="K2179" s="4">
        <v>0</v>
      </c>
    </row>
    <row r="2180" spans="1:11">
      <c r="A2180" s="4" t="str">
        <f>"20211210"</f>
        <v>20211210</v>
      </c>
      <c r="B2180" s="4" t="str">
        <f>"20211210"</f>
        <v>20211210</v>
      </c>
      <c r="C2180" s="4" t="str">
        <f t="shared" si="1399"/>
        <v>港股通组合费</v>
      </c>
      <c r="D2180" s="4"/>
      <c r="E2180" s="4"/>
      <c r="F2180" s="4">
        <v>0</v>
      </c>
      <c r="G2180" s="4">
        <v>0</v>
      </c>
      <c r="H2180" s="4">
        <v>0.05</v>
      </c>
      <c r="I2180" s="4">
        <v>-0.05</v>
      </c>
      <c r="J2180" s="4">
        <v>24451.2</v>
      </c>
      <c r="K2180" s="4">
        <v>0</v>
      </c>
    </row>
    <row r="2181" spans="1:11">
      <c r="A2181" s="4" t="str">
        <f t="shared" ref="A2181:A2187" si="1402">"20211213"</f>
        <v>20211213</v>
      </c>
      <c r="B2181" s="4" t="str">
        <f t="shared" ref="B2181:B2187" si="1403">"20211213"</f>
        <v>20211213</v>
      </c>
      <c r="C2181" s="4" t="str">
        <f>"证券转银行"</f>
        <v>证券转银行</v>
      </c>
      <c r="D2181" s="4"/>
      <c r="E2181" s="4"/>
      <c r="F2181" s="4">
        <v>0</v>
      </c>
      <c r="G2181" s="4">
        <v>0</v>
      </c>
      <c r="H2181" s="4">
        <v>0</v>
      </c>
      <c r="I2181" s="4">
        <v>-20000</v>
      </c>
      <c r="J2181" s="4">
        <v>4451.2</v>
      </c>
      <c r="K2181" s="4">
        <v>0</v>
      </c>
    </row>
    <row r="2182" spans="1:11">
      <c r="A2182" s="4" t="str">
        <f t="shared" si="1402"/>
        <v>20211213</v>
      </c>
      <c r="B2182" s="4" t="str">
        <f t="shared" si="1403"/>
        <v>20211213</v>
      </c>
      <c r="C2182" s="4" t="str">
        <f>"资管计划实时取现"</f>
        <v>资管计划实时取现</v>
      </c>
      <c r="D2182" s="4" t="str">
        <f>"119931"</f>
        <v>119931</v>
      </c>
      <c r="E2182" s="4" t="str">
        <f>"水星1号"</f>
        <v>水星1号</v>
      </c>
      <c r="F2182" s="4">
        <v>0</v>
      </c>
      <c r="G2182" s="4">
        <v>0</v>
      </c>
      <c r="H2182" s="4">
        <v>30000</v>
      </c>
      <c r="I2182" s="4">
        <v>30000</v>
      </c>
      <c r="J2182" s="4">
        <v>34451.2</v>
      </c>
      <c r="K2182" s="4">
        <v>0</v>
      </c>
    </row>
    <row r="2183" spans="1:11">
      <c r="A2183" s="4" t="str">
        <f t="shared" si="1402"/>
        <v>20211213</v>
      </c>
      <c r="B2183" s="4" t="str">
        <f t="shared" si="1403"/>
        <v>20211213</v>
      </c>
      <c r="C2183" s="4" t="str">
        <f>"证券转银行"</f>
        <v>证券转银行</v>
      </c>
      <c r="D2183" s="4"/>
      <c r="E2183" s="4"/>
      <c r="F2183" s="4">
        <v>0</v>
      </c>
      <c r="G2183" s="4">
        <v>0</v>
      </c>
      <c r="H2183" s="4">
        <v>0</v>
      </c>
      <c r="I2183" s="4">
        <v>-30000</v>
      </c>
      <c r="J2183" s="4">
        <v>4451.2</v>
      </c>
      <c r="K2183" s="4">
        <v>0</v>
      </c>
    </row>
    <row r="2184" spans="1:11">
      <c r="A2184" s="4" t="str">
        <f t="shared" si="1402"/>
        <v>20211213</v>
      </c>
      <c r="B2184" s="4" t="str">
        <f t="shared" si="1403"/>
        <v>20211213</v>
      </c>
      <c r="C2184" s="4" t="str">
        <f>"资管T0取现拨入"</f>
        <v>资管T0取现拨入</v>
      </c>
      <c r="D2184" s="4" t="str">
        <f t="shared" ref="D2184:D2188" si="1404">"AA0007"</f>
        <v>AA0007</v>
      </c>
      <c r="E2184" s="4" t="str">
        <f>"银河水星1号"</f>
        <v>银河水星1号</v>
      </c>
      <c r="F2184" s="4">
        <v>0</v>
      </c>
      <c r="G2184" s="4">
        <v>30000</v>
      </c>
      <c r="H2184" s="4">
        <v>30000</v>
      </c>
      <c r="I2184" s="4">
        <v>30000</v>
      </c>
      <c r="J2184" s="4">
        <v>34451.2</v>
      </c>
      <c r="K2184" s="4">
        <v>0</v>
      </c>
    </row>
    <row r="2185" spans="1:11">
      <c r="A2185" s="4" t="str">
        <f t="shared" si="1402"/>
        <v>20211213</v>
      </c>
      <c r="B2185" s="4" t="str">
        <f t="shared" si="1403"/>
        <v>20211213</v>
      </c>
      <c r="C2185" s="4" t="str">
        <f>"基金申购拨出"</f>
        <v>基金申购拨出</v>
      </c>
      <c r="D2185" s="4" t="str">
        <f t="shared" si="1404"/>
        <v>AA0007</v>
      </c>
      <c r="E2185" s="4" t="str">
        <f t="shared" ref="E2185:E2190" si="1405">"银河水星1号集合"</f>
        <v>银河水星1号集合</v>
      </c>
      <c r="F2185" s="4">
        <v>0</v>
      </c>
      <c r="G2185" s="4">
        <v>0</v>
      </c>
      <c r="H2185" s="4">
        <v>0</v>
      </c>
      <c r="I2185" s="4">
        <v>-4446.2</v>
      </c>
      <c r="J2185" s="4">
        <v>30005</v>
      </c>
      <c r="K2185" s="4">
        <v>0</v>
      </c>
    </row>
    <row r="2186" spans="1:11">
      <c r="A2186" s="4" t="str">
        <f t="shared" si="1402"/>
        <v>20211213</v>
      </c>
      <c r="B2186" s="4" t="str">
        <f t="shared" si="1403"/>
        <v>20211213</v>
      </c>
      <c r="C2186" s="4" t="str">
        <f>"资管计划实时取现"</f>
        <v>资管计划实时取现</v>
      </c>
      <c r="D2186" s="4" t="str">
        <f>"119931"</f>
        <v>119931</v>
      </c>
      <c r="E2186" s="4" t="str">
        <f>"水星1号"</f>
        <v>水星1号</v>
      </c>
      <c r="F2186" s="4">
        <v>0</v>
      </c>
      <c r="G2186" s="4">
        <v>0</v>
      </c>
      <c r="H2186" s="4">
        <v>0</v>
      </c>
      <c r="I2186" s="4">
        <v>-30000</v>
      </c>
      <c r="J2186" s="4">
        <v>5</v>
      </c>
      <c r="K2186" s="4">
        <v>0</v>
      </c>
    </row>
    <row r="2187" spans="1:11">
      <c r="A2187" s="4" t="str">
        <f t="shared" si="1402"/>
        <v>20211213</v>
      </c>
      <c r="B2187" s="4" t="str">
        <f t="shared" si="1403"/>
        <v>20211213</v>
      </c>
      <c r="C2187" s="4" t="str">
        <f t="shared" ref="C2187:C2191" si="1406">"港股通组合费"</f>
        <v>港股通组合费</v>
      </c>
      <c r="D2187" s="4"/>
      <c r="E2187" s="4"/>
      <c r="F2187" s="4">
        <v>0</v>
      </c>
      <c r="G2187" s="4">
        <v>0</v>
      </c>
      <c r="H2187" s="4">
        <v>0.15</v>
      </c>
      <c r="I2187" s="4">
        <v>-0.15</v>
      </c>
      <c r="J2187" s="4">
        <v>4.85</v>
      </c>
      <c r="K2187" s="4">
        <v>0</v>
      </c>
    </row>
    <row r="2188" spans="1:11">
      <c r="A2188" s="4" t="str">
        <f>"20211214"</f>
        <v>20211214</v>
      </c>
      <c r="B2188" s="4" t="str">
        <f>"20211214"</f>
        <v>20211214</v>
      </c>
      <c r="C2188" s="4" t="str">
        <f t="shared" ref="C2188:C2192" si="1407">"基金赎回拨入"</f>
        <v>基金赎回拨入</v>
      </c>
      <c r="D2188" s="4" t="str">
        <f t="shared" si="1404"/>
        <v>AA0007</v>
      </c>
      <c r="E2188" s="4" t="str">
        <f t="shared" si="1405"/>
        <v>银河水星1号集合</v>
      </c>
      <c r="F2188" s="4">
        <v>0</v>
      </c>
      <c r="G2188" s="4">
        <v>0</v>
      </c>
      <c r="H2188" s="4">
        <v>0</v>
      </c>
      <c r="I2188" s="4">
        <v>0.15</v>
      </c>
      <c r="J2188" s="4">
        <v>5</v>
      </c>
      <c r="K2188" s="4">
        <v>0</v>
      </c>
    </row>
    <row r="2189" spans="1:11">
      <c r="A2189" s="4" t="str">
        <f>"20211214"</f>
        <v>20211214</v>
      </c>
      <c r="B2189" s="4" t="str">
        <f>"20211214"</f>
        <v>20211214</v>
      </c>
      <c r="C2189" s="4" t="str">
        <f t="shared" si="1406"/>
        <v>港股通组合费</v>
      </c>
      <c r="D2189" s="4"/>
      <c r="E2189" s="4"/>
      <c r="F2189" s="4">
        <v>0</v>
      </c>
      <c r="G2189" s="4">
        <v>0</v>
      </c>
      <c r="H2189" s="4">
        <v>0.05</v>
      </c>
      <c r="I2189" s="4">
        <v>-0.05</v>
      </c>
      <c r="J2189" s="4">
        <v>4.95</v>
      </c>
      <c r="K2189" s="4">
        <v>0</v>
      </c>
    </row>
    <row r="2190" spans="1:11">
      <c r="A2190" s="4" t="str">
        <f>"20211215"</f>
        <v>20211215</v>
      </c>
      <c r="B2190" s="4" t="str">
        <f>"20211215"</f>
        <v>20211215</v>
      </c>
      <c r="C2190" s="4" t="str">
        <f t="shared" si="1407"/>
        <v>基金赎回拨入</v>
      </c>
      <c r="D2190" s="4" t="str">
        <f t="shared" ref="D2190:D2194" si="1408">"AA0007"</f>
        <v>AA0007</v>
      </c>
      <c r="E2190" s="4" t="str">
        <f t="shared" si="1405"/>
        <v>银河水星1号集合</v>
      </c>
      <c r="F2190" s="4">
        <v>0</v>
      </c>
      <c r="G2190" s="4">
        <v>0</v>
      </c>
      <c r="H2190" s="4">
        <v>0</v>
      </c>
      <c r="I2190" s="4">
        <v>0.05</v>
      </c>
      <c r="J2190" s="4">
        <v>5</v>
      </c>
      <c r="K2190" s="4">
        <v>0</v>
      </c>
    </row>
    <row r="2191" spans="1:11">
      <c r="A2191" s="4" t="str">
        <f>"20211215"</f>
        <v>20211215</v>
      </c>
      <c r="B2191" s="4" t="str">
        <f>"20211215"</f>
        <v>20211215</v>
      </c>
      <c r="C2191" s="4" t="str">
        <f t="shared" si="1406"/>
        <v>港股通组合费</v>
      </c>
      <c r="D2191" s="4"/>
      <c r="E2191" s="4"/>
      <c r="F2191" s="4">
        <v>0</v>
      </c>
      <c r="G2191" s="4">
        <v>0</v>
      </c>
      <c r="H2191" s="4">
        <v>0.05</v>
      </c>
      <c r="I2191" s="4">
        <v>-0.05</v>
      </c>
      <c r="J2191" s="4">
        <v>4.95</v>
      </c>
      <c r="K2191" s="4">
        <v>0</v>
      </c>
    </row>
    <row r="2192" spans="1:11">
      <c r="A2192" s="4" t="str">
        <f>"20211216"</f>
        <v>20211216</v>
      </c>
      <c r="B2192" s="4" t="str">
        <f>"20211216"</f>
        <v>20211216</v>
      </c>
      <c r="C2192" s="4" t="str">
        <f t="shared" si="1407"/>
        <v>基金赎回拨入</v>
      </c>
      <c r="D2192" s="4" t="str">
        <f t="shared" si="1408"/>
        <v>AA0007</v>
      </c>
      <c r="E2192" s="4" t="str">
        <f>"银河水星1号集合"</f>
        <v>银河水星1号集合</v>
      </c>
      <c r="F2192" s="4">
        <v>0</v>
      </c>
      <c r="G2192" s="4">
        <v>0</v>
      </c>
      <c r="H2192" s="4">
        <v>0</v>
      </c>
      <c r="I2192" s="4">
        <v>0.05</v>
      </c>
      <c r="J2192" s="4">
        <v>5</v>
      </c>
      <c r="K2192" s="4">
        <v>0</v>
      </c>
    </row>
    <row r="2193" spans="1:11">
      <c r="A2193" s="4" t="str">
        <f>"20211216"</f>
        <v>20211216</v>
      </c>
      <c r="B2193" s="4" t="str">
        <f>"20211216"</f>
        <v>20211216</v>
      </c>
      <c r="C2193" s="4" t="str">
        <f>"港股通组合费"</f>
        <v>港股通组合费</v>
      </c>
      <c r="D2193" s="4"/>
      <c r="E2193" s="4"/>
      <c r="F2193" s="4">
        <v>0</v>
      </c>
      <c r="G2193" s="4">
        <v>0</v>
      </c>
      <c r="H2193" s="4">
        <v>0.05</v>
      </c>
      <c r="I2193" s="4">
        <v>-0.05</v>
      </c>
      <c r="J2193" s="4">
        <v>4.95</v>
      </c>
      <c r="K2193" s="4">
        <v>0</v>
      </c>
    </row>
    <row r="2194" spans="1:11">
      <c r="A2194" s="4" t="str">
        <f>"20211217"</f>
        <v>20211217</v>
      </c>
      <c r="B2194" s="4" t="str">
        <f>"20211217"</f>
        <v>20211217</v>
      </c>
      <c r="C2194" s="4" t="str">
        <f>"基金赎回拨入"</f>
        <v>基金赎回拨入</v>
      </c>
      <c r="D2194" s="4" t="str">
        <f t="shared" si="1408"/>
        <v>AA0007</v>
      </c>
      <c r="E2194" s="4" t="str">
        <f>"银河水星1号"</f>
        <v>银河水星1号</v>
      </c>
      <c r="F2194" s="4">
        <v>0</v>
      </c>
      <c r="G2194" s="4">
        <v>0</v>
      </c>
      <c r="H2194" s="4">
        <v>0</v>
      </c>
      <c r="I2194" s="4">
        <v>0.05</v>
      </c>
      <c r="J2194" s="4">
        <v>5</v>
      </c>
      <c r="K2194" s="4">
        <v>0</v>
      </c>
    </row>
    <row r="2195" spans="1:11">
      <c r="A2195" s="4" t="str">
        <f>"20211217"</f>
        <v>20211217</v>
      </c>
      <c r="B2195" s="4" t="str">
        <f>"20211217"</f>
        <v>20211217</v>
      </c>
      <c r="C2195" s="4" t="str">
        <f t="shared" ref="C2195:C2200" si="1409">"港股通组合费"</f>
        <v>港股通组合费</v>
      </c>
      <c r="D2195" s="4"/>
      <c r="E2195" s="4"/>
      <c r="F2195" s="4">
        <v>0</v>
      </c>
      <c r="G2195" s="4">
        <v>0</v>
      </c>
      <c r="H2195" s="4">
        <v>0.05</v>
      </c>
      <c r="I2195" s="4">
        <v>-0.05</v>
      </c>
      <c r="J2195" s="4">
        <v>4.95</v>
      </c>
      <c r="K2195" s="4">
        <v>0</v>
      </c>
    </row>
    <row r="2196" spans="1:11">
      <c r="A2196" s="4" t="str">
        <f t="shared" ref="A2196:A2199" si="1410">"20211220"</f>
        <v>20211220</v>
      </c>
      <c r="B2196" s="4" t="str">
        <f t="shared" ref="B2196:B2199" si="1411">"20211220"</f>
        <v>20211220</v>
      </c>
      <c r="C2196" s="4" t="str">
        <f>"利息归本"</f>
        <v>利息归本</v>
      </c>
      <c r="D2196" s="4"/>
      <c r="E2196" s="4"/>
      <c r="F2196" s="4">
        <v>0</v>
      </c>
      <c r="G2196" s="4">
        <v>0</v>
      </c>
      <c r="H2196" s="4">
        <v>0</v>
      </c>
      <c r="I2196" s="4">
        <v>11.76</v>
      </c>
      <c r="J2196" s="4">
        <v>16.71</v>
      </c>
      <c r="K2196" s="4">
        <v>0</v>
      </c>
    </row>
    <row r="2197" spans="1:11">
      <c r="A2197" s="4" t="str">
        <f t="shared" si="1410"/>
        <v>20211220</v>
      </c>
      <c r="B2197" s="4" t="str">
        <f t="shared" si="1411"/>
        <v>20211220</v>
      </c>
      <c r="C2197" s="4" t="str">
        <f>"基金赎回拨入"</f>
        <v>基金赎回拨入</v>
      </c>
      <c r="D2197" s="4" t="str">
        <f t="shared" ref="D2197:D2202" si="1412">"AA0007"</f>
        <v>AA0007</v>
      </c>
      <c r="E2197" s="4" t="str">
        <f t="shared" ref="E2197:E2202" si="1413">"银河水星1号集合"</f>
        <v>银河水星1号集合</v>
      </c>
      <c r="F2197" s="4">
        <v>0</v>
      </c>
      <c r="G2197" s="4">
        <v>23614</v>
      </c>
      <c r="H2197" s="4">
        <v>0</v>
      </c>
      <c r="I2197" s="4">
        <v>23614.05</v>
      </c>
      <c r="J2197" s="4">
        <v>23630.76</v>
      </c>
      <c r="K2197" s="4">
        <v>0</v>
      </c>
    </row>
    <row r="2198" spans="1:11">
      <c r="A2198" s="4" t="str">
        <f t="shared" si="1410"/>
        <v>20211220</v>
      </c>
      <c r="B2198" s="4" t="str">
        <f t="shared" si="1411"/>
        <v>20211220</v>
      </c>
      <c r="C2198" s="4" t="str">
        <f>"证券买入"</f>
        <v>证券买入</v>
      </c>
      <c r="D2198" s="4" t="str">
        <f>"159781"</f>
        <v>159781</v>
      </c>
      <c r="E2198" s="4" t="str">
        <f>"科创创业"</f>
        <v>科创创业</v>
      </c>
      <c r="F2198" s="4">
        <v>0.85</v>
      </c>
      <c r="G2198" s="4">
        <v>14000</v>
      </c>
      <c r="H2198" s="4">
        <v>11900</v>
      </c>
      <c r="I2198" s="4">
        <v>-11905</v>
      </c>
      <c r="J2198" s="4">
        <v>11725.76</v>
      </c>
      <c r="K2198" s="4">
        <v>14000</v>
      </c>
    </row>
    <row r="2199" spans="1:11">
      <c r="A2199" s="4" t="str">
        <f t="shared" si="1410"/>
        <v>20211220</v>
      </c>
      <c r="B2199" s="4" t="str">
        <f t="shared" si="1411"/>
        <v>20211220</v>
      </c>
      <c r="C2199" s="4" t="str">
        <f t="shared" si="1409"/>
        <v>港股通组合费</v>
      </c>
      <c r="D2199" s="4"/>
      <c r="E2199" s="4"/>
      <c r="F2199" s="4">
        <v>0</v>
      </c>
      <c r="G2199" s="4">
        <v>0</v>
      </c>
      <c r="H2199" s="4">
        <v>0.15</v>
      </c>
      <c r="I2199" s="4">
        <v>-0.15</v>
      </c>
      <c r="J2199" s="4">
        <v>11725.61</v>
      </c>
      <c r="K2199" s="4">
        <v>0</v>
      </c>
    </row>
    <row r="2200" spans="1:11">
      <c r="A2200" s="4" t="str">
        <f>"20211221"</f>
        <v>20211221</v>
      </c>
      <c r="B2200" s="4" t="str">
        <f>"20211221"</f>
        <v>20211221</v>
      </c>
      <c r="C2200" s="4" t="str">
        <f t="shared" si="1409"/>
        <v>港股通组合费</v>
      </c>
      <c r="D2200" s="4"/>
      <c r="E2200" s="4"/>
      <c r="F2200" s="4">
        <v>0</v>
      </c>
      <c r="G2200" s="4">
        <v>0</v>
      </c>
      <c r="H2200" s="4">
        <v>0.04</v>
      </c>
      <c r="I2200" s="4">
        <v>-0.04</v>
      </c>
      <c r="J2200" s="4">
        <v>11725.57</v>
      </c>
      <c r="K2200" s="4">
        <v>0</v>
      </c>
    </row>
    <row r="2201" spans="1:11">
      <c r="A2201" s="4" t="str">
        <f t="shared" ref="A2201:A2204" si="1414">"20211222"</f>
        <v>20211222</v>
      </c>
      <c r="B2201" s="4" t="str">
        <f t="shared" ref="B2201:B2204" si="1415">"20211222"</f>
        <v>20211222</v>
      </c>
      <c r="C2201" s="4" t="str">
        <f>"基金赎回拨入"</f>
        <v>基金赎回拨入</v>
      </c>
      <c r="D2201" s="4" t="str">
        <f t="shared" si="1412"/>
        <v>AA0007</v>
      </c>
      <c r="E2201" s="4" t="str">
        <f t="shared" si="1413"/>
        <v>银河水星1号集合</v>
      </c>
      <c r="F2201" s="4">
        <v>0</v>
      </c>
      <c r="G2201" s="4">
        <v>2892</v>
      </c>
      <c r="H2201" s="4">
        <v>0</v>
      </c>
      <c r="I2201" s="4">
        <v>2892.43</v>
      </c>
      <c r="J2201" s="4">
        <v>14618</v>
      </c>
      <c r="K2201" s="4">
        <v>0</v>
      </c>
    </row>
    <row r="2202" spans="1:11">
      <c r="A2202" s="4" t="str">
        <f t="shared" si="1414"/>
        <v>20211222</v>
      </c>
      <c r="B2202" s="4" t="str">
        <f>"0"</f>
        <v>0</v>
      </c>
      <c r="C2202" s="4" t="str">
        <f>"基金红利拨入"</f>
        <v>基金红利拨入</v>
      </c>
      <c r="D2202" s="4" t="str">
        <f t="shared" si="1412"/>
        <v>AA0007</v>
      </c>
      <c r="E2202" s="4" t="str">
        <f t="shared" si="1413"/>
        <v>银河水星1号集合</v>
      </c>
      <c r="F2202" s="4">
        <v>0</v>
      </c>
      <c r="G2202" s="4">
        <v>0</v>
      </c>
      <c r="H2202" s="4">
        <v>165</v>
      </c>
      <c r="I2202" s="4">
        <v>165</v>
      </c>
      <c r="J2202" s="4">
        <v>14783</v>
      </c>
      <c r="K2202" s="4">
        <v>0</v>
      </c>
    </row>
    <row r="2203" spans="1:11">
      <c r="A2203" s="4" t="str">
        <f t="shared" si="1414"/>
        <v>20211222</v>
      </c>
      <c r="B2203" s="4" t="str">
        <f t="shared" si="1415"/>
        <v>20211222</v>
      </c>
      <c r="C2203" s="4" t="str">
        <f>"新股申购"</f>
        <v>新股申购</v>
      </c>
      <c r="D2203" s="4" t="str">
        <f>"889688"</f>
        <v>889688</v>
      </c>
      <c r="E2203" s="4" t="str">
        <f>"威博液压"</f>
        <v>威博液压</v>
      </c>
      <c r="F2203" s="4">
        <v>9.68</v>
      </c>
      <c r="G2203" s="4">
        <v>300</v>
      </c>
      <c r="H2203" s="4">
        <v>2904</v>
      </c>
      <c r="I2203" s="4">
        <v>-2904</v>
      </c>
      <c r="J2203" s="4">
        <v>11879</v>
      </c>
      <c r="K2203" s="4">
        <v>300</v>
      </c>
    </row>
    <row r="2204" spans="1:11">
      <c r="A2204" s="4" t="str">
        <f t="shared" si="1414"/>
        <v>20211222</v>
      </c>
      <c r="B2204" s="4" t="str">
        <f t="shared" si="1415"/>
        <v>20211222</v>
      </c>
      <c r="C2204" s="4" t="str">
        <f t="shared" ref="C2204:C2208" si="1416">"港股通组合费"</f>
        <v>港股通组合费</v>
      </c>
      <c r="D2204" s="4"/>
      <c r="E2204" s="4"/>
      <c r="F2204" s="4">
        <v>0</v>
      </c>
      <c r="G2204" s="4">
        <v>0</v>
      </c>
      <c r="H2204" s="4">
        <v>0.04</v>
      </c>
      <c r="I2204" s="4">
        <v>-0.04</v>
      </c>
      <c r="J2204" s="4">
        <v>11878.96</v>
      </c>
      <c r="K2204" s="4">
        <v>0</v>
      </c>
    </row>
    <row r="2205" spans="1:11">
      <c r="A2205" s="4" t="str">
        <f>"20211223"</f>
        <v>20211223</v>
      </c>
      <c r="B2205" s="4" t="str">
        <f>"20211223"</f>
        <v>20211223</v>
      </c>
      <c r="C2205" s="4" t="str">
        <f t="shared" si="1416"/>
        <v>港股通组合费</v>
      </c>
      <c r="D2205" s="4"/>
      <c r="E2205" s="4"/>
      <c r="F2205" s="4">
        <v>0</v>
      </c>
      <c r="G2205" s="4">
        <v>0</v>
      </c>
      <c r="H2205" s="4">
        <v>0.04</v>
      </c>
      <c r="I2205" s="4">
        <v>-0.04</v>
      </c>
      <c r="J2205" s="4">
        <v>11878.92</v>
      </c>
      <c r="K2205" s="4">
        <v>0</v>
      </c>
    </row>
    <row r="2206" spans="1:11">
      <c r="A2206" s="4" t="str">
        <f t="shared" ref="A2206:A2208" si="1417">"20211224"</f>
        <v>20211224</v>
      </c>
      <c r="B2206" s="4" t="str">
        <f>"20211222"</f>
        <v>20211222</v>
      </c>
      <c r="C2206" s="4" t="str">
        <f>"申购还款"</f>
        <v>申购还款</v>
      </c>
      <c r="D2206" s="4" t="str">
        <f>"889688"</f>
        <v>889688</v>
      </c>
      <c r="E2206" s="4" t="str">
        <f>"威博液压"</f>
        <v>威博液压</v>
      </c>
      <c r="F2206" s="4">
        <v>9.68</v>
      </c>
      <c r="G2206" s="4">
        <v>300</v>
      </c>
      <c r="H2206" s="4">
        <v>2904</v>
      </c>
      <c r="I2206" s="4">
        <v>2904</v>
      </c>
      <c r="J2206" s="4">
        <v>14782.92</v>
      </c>
      <c r="K2206" s="4">
        <v>0</v>
      </c>
    </row>
    <row r="2207" spans="1:11">
      <c r="A2207" s="4" t="str">
        <f t="shared" si="1417"/>
        <v>20211224</v>
      </c>
      <c r="B2207" s="4" t="str">
        <f>"20211224"</f>
        <v>20211224</v>
      </c>
      <c r="C2207" s="4" t="str">
        <f>"证券买入"</f>
        <v>证券买入</v>
      </c>
      <c r="D2207" s="4" t="str">
        <f>"159781"</f>
        <v>159781</v>
      </c>
      <c r="E2207" s="4" t="str">
        <f>"科创创业"</f>
        <v>科创创业</v>
      </c>
      <c r="F2207" s="4">
        <v>0.836</v>
      </c>
      <c r="G2207" s="4">
        <v>14000</v>
      </c>
      <c r="H2207" s="4">
        <v>11704</v>
      </c>
      <c r="I2207" s="4">
        <v>-11709</v>
      </c>
      <c r="J2207" s="4">
        <v>3073.92</v>
      </c>
      <c r="K2207" s="4">
        <v>28000</v>
      </c>
    </row>
    <row r="2208" spans="1:11">
      <c r="A2208" s="4" t="str">
        <f t="shared" si="1417"/>
        <v>20211224</v>
      </c>
      <c r="B2208" s="4" t="str">
        <f>"20211224"</f>
        <v>20211224</v>
      </c>
      <c r="C2208" s="4" t="str">
        <f t="shared" si="1416"/>
        <v>港股通组合费</v>
      </c>
      <c r="D2208" s="4"/>
      <c r="E2208" s="4"/>
      <c r="F2208" s="4">
        <v>0</v>
      </c>
      <c r="G2208" s="4">
        <v>0</v>
      </c>
      <c r="H2208" s="4">
        <v>0.05</v>
      </c>
      <c r="I2208" s="4">
        <v>-0.05</v>
      </c>
      <c r="J2208" s="4">
        <v>3073.87</v>
      </c>
      <c r="K2208" s="4">
        <v>0</v>
      </c>
    </row>
    <row r="2209" spans="1:11">
      <c r="A2209" s="4" t="str">
        <f>"20211227"</f>
        <v>20211227</v>
      </c>
      <c r="B2209" s="4" t="str">
        <f>"20211227"</f>
        <v>20211227</v>
      </c>
      <c r="C2209" s="4" t="str">
        <f>"基金申购拨出"</f>
        <v>基金申购拨出</v>
      </c>
      <c r="D2209" s="4" t="str">
        <f t="shared" ref="D2209:D2213" si="1418">"AA0007"</f>
        <v>AA0007</v>
      </c>
      <c r="E2209" s="4" t="str">
        <f t="shared" ref="E2209:E2213" si="1419">"银河水星1号集合"</f>
        <v>银河水星1号集合</v>
      </c>
      <c r="F2209" s="4">
        <v>0</v>
      </c>
      <c r="G2209" s="4">
        <v>0</v>
      </c>
      <c r="H2209" s="4">
        <v>0</v>
      </c>
      <c r="I2209" s="4">
        <v>-3068.87</v>
      </c>
      <c r="J2209" s="4">
        <v>5</v>
      </c>
      <c r="K2209" s="4">
        <v>0</v>
      </c>
    </row>
    <row r="2210" spans="1:11">
      <c r="A2210" s="4" t="str">
        <f>"20211228"</f>
        <v>20211228</v>
      </c>
      <c r="B2210" s="4" t="str">
        <f>"20211228"</f>
        <v>20211228</v>
      </c>
      <c r="C2210" s="4" t="str">
        <f t="shared" ref="C2210:C2214" si="1420">"港股通组合费"</f>
        <v>港股通组合费</v>
      </c>
      <c r="D2210" s="4"/>
      <c r="E2210" s="4"/>
      <c r="F2210" s="4">
        <v>0</v>
      </c>
      <c r="G2210" s="4">
        <v>0</v>
      </c>
      <c r="H2210" s="4">
        <v>0.2</v>
      </c>
      <c r="I2210" s="4">
        <v>-0.2</v>
      </c>
      <c r="J2210" s="4">
        <v>4.8</v>
      </c>
      <c r="K2210" s="4">
        <v>0</v>
      </c>
    </row>
    <row r="2211" spans="1:11">
      <c r="A2211" s="4" t="str">
        <f>"20211229"</f>
        <v>20211229</v>
      </c>
      <c r="B2211" s="4" t="str">
        <f>"20211229"</f>
        <v>20211229</v>
      </c>
      <c r="C2211" s="4" t="str">
        <f t="shared" ref="C2211:C2215" si="1421">"基金赎回拨入"</f>
        <v>基金赎回拨入</v>
      </c>
      <c r="D2211" s="4" t="str">
        <f t="shared" si="1418"/>
        <v>AA0007</v>
      </c>
      <c r="E2211" s="4" t="str">
        <f t="shared" si="1419"/>
        <v>银河水星1号集合</v>
      </c>
      <c r="F2211" s="4">
        <v>0</v>
      </c>
      <c r="G2211" s="4">
        <v>0</v>
      </c>
      <c r="H2211" s="4">
        <v>0</v>
      </c>
      <c r="I2211" s="4">
        <v>0.2</v>
      </c>
      <c r="J2211" s="4">
        <v>5</v>
      </c>
      <c r="K2211" s="4">
        <v>0</v>
      </c>
    </row>
    <row r="2212" spans="1:11">
      <c r="A2212" s="4" t="str">
        <f>"20211229"</f>
        <v>20211229</v>
      </c>
      <c r="B2212" s="4" t="str">
        <f>"20211229"</f>
        <v>20211229</v>
      </c>
      <c r="C2212" s="4" t="str">
        <f t="shared" si="1420"/>
        <v>港股通组合费</v>
      </c>
      <c r="D2212" s="4"/>
      <c r="E2212" s="4"/>
      <c r="F2212" s="4">
        <v>0</v>
      </c>
      <c r="G2212" s="4">
        <v>0</v>
      </c>
      <c r="H2212" s="4">
        <v>0.05</v>
      </c>
      <c r="I2212" s="4">
        <v>-0.05</v>
      </c>
      <c r="J2212" s="4">
        <v>4.95</v>
      </c>
      <c r="K2212" s="4">
        <v>0</v>
      </c>
    </row>
    <row r="2213" spans="1:11">
      <c r="A2213" s="4" t="str">
        <f>"20211230"</f>
        <v>20211230</v>
      </c>
      <c r="B2213" s="4" t="str">
        <f>"20211230"</f>
        <v>20211230</v>
      </c>
      <c r="C2213" s="4" t="str">
        <f t="shared" si="1421"/>
        <v>基金赎回拨入</v>
      </c>
      <c r="D2213" s="4" t="str">
        <f t="shared" si="1418"/>
        <v>AA0007</v>
      </c>
      <c r="E2213" s="4" t="str">
        <f t="shared" si="1419"/>
        <v>银河水星1号集合</v>
      </c>
      <c r="F2213" s="4">
        <v>0</v>
      </c>
      <c r="G2213" s="4">
        <v>0</v>
      </c>
      <c r="H2213" s="4">
        <v>0</v>
      </c>
      <c r="I2213" s="4">
        <v>0.05</v>
      </c>
      <c r="J2213" s="4">
        <v>5</v>
      </c>
      <c r="K2213" s="4">
        <v>0</v>
      </c>
    </row>
    <row r="2214" spans="1:11">
      <c r="A2214" s="4" t="str">
        <f>"20211230"</f>
        <v>20211230</v>
      </c>
      <c r="B2214" s="4" t="str">
        <f>"20211230"</f>
        <v>20211230</v>
      </c>
      <c r="C2214" s="4" t="str">
        <f t="shared" si="1420"/>
        <v>港股通组合费</v>
      </c>
      <c r="D2214" s="4"/>
      <c r="E2214" s="4"/>
      <c r="F2214" s="4">
        <v>0</v>
      </c>
      <c r="G2214" s="4">
        <v>0</v>
      </c>
      <c r="H2214" s="4">
        <v>0.05</v>
      </c>
      <c r="I2214" s="4">
        <v>-0.05</v>
      </c>
      <c r="J2214" s="4">
        <v>4.95</v>
      </c>
      <c r="K2214" s="4">
        <v>0</v>
      </c>
    </row>
    <row r="2215" spans="1:11">
      <c r="A2215" s="4" t="str">
        <f>"20211231"</f>
        <v>20211231</v>
      </c>
      <c r="B2215" s="4" t="str">
        <f>"20211231"</f>
        <v>20211231</v>
      </c>
      <c r="C2215" s="4" t="str">
        <f t="shared" si="1421"/>
        <v>基金赎回拨入</v>
      </c>
      <c r="D2215" s="4" t="str">
        <f>"AA0007"</f>
        <v>AA0007</v>
      </c>
      <c r="E2215" s="4" t="str">
        <f>"银河水星1号集合"</f>
        <v>银河水星1号集合</v>
      </c>
      <c r="F2215" s="4">
        <v>0</v>
      </c>
      <c r="G2215" s="4">
        <v>0</v>
      </c>
      <c r="H2215" s="4">
        <v>0</v>
      </c>
      <c r="I2215" s="4">
        <v>0.05</v>
      </c>
      <c r="J2215" s="4">
        <v>5</v>
      </c>
      <c r="K2215" s="4">
        <v>0</v>
      </c>
    </row>
    <row r="2216" spans="1:11">
      <c r="A2216" s="9">
        <v>20220104</v>
      </c>
      <c r="B2216" s="9">
        <v>20220104</v>
      </c>
      <c r="C2216" s="9" t="s">
        <v>92</v>
      </c>
      <c r="D2216" s="9" t="s">
        <v>185</v>
      </c>
      <c r="E2216" s="9" t="s">
        <v>185</v>
      </c>
      <c r="F2216" s="9">
        <v>0</v>
      </c>
      <c r="G2216" s="9">
        <v>0</v>
      </c>
      <c r="H2216" s="9">
        <v>0.25</v>
      </c>
      <c r="I2216" s="9">
        <v>-0.25</v>
      </c>
      <c r="J2216" s="9">
        <v>4.75</v>
      </c>
      <c r="K2216" s="9">
        <v>0</v>
      </c>
    </row>
    <row r="2217" spans="1:11">
      <c r="A2217" s="9">
        <v>20220105</v>
      </c>
      <c r="B2217" s="9">
        <v>20220105</v>
      </c>
      <c r="C2217" s="9" t="s">
        <v>86</v>
      </c>
      <c r="D2217" s="9" t="s">
        <v>83</v>
      </c>
      <c r="E2217" s="9" t="s">
        <v>186</v>
      </c>
      <c r="F2217" s="9">
        <v>0</v>
      </c>
      <c r="G2217" s="9">
        <v>0</v>
      </c>
      <c r="H2217" s="9">
        <v>0</v>
      </c>
      <c r="I2217" s="9">
        <v>0.25</v>
      </c>
      <c r="J2217" s="9">
        <v>5</v>
      </c>
      <c r="K2217" s="9">
        <v>0</v>
      </c>
    </row>
    <row r="2218" spans="1:11">
      <c r="A2218" s="9">
        <v>20220105</v>
      </c>
      <c r="B2218" s="9">
        <v>20220105</v>
      </c>
      <c r="C2218" s="9" t="s">
        <v>92</v>
      </c>
      <c r="D2218" s="9" t="s">
        <v>185</v>
      </c>
      <c r="E2218" s="9" t="s">
        <v>185</v>
      </c>
      <c r="F2218" s="9">
        <v>0</v>
      </c>
      <c r="G2218" s="9">
        <v>0</v>
      </c>
      <c r="H2218" s="9">
        <v>0.05</v>
      </c>
      <c r="I2218" s="9">
        <v>-0.05</v>
      </c>
      <c r="J2218" s="9">
        <v>4.95</v>
      </c>
      <c r="K2218" s="9">
        <v>0</v>
      </c>
    </row>
    <row r="2219" spans="1:11">
      <c r="A2219" s="9">
        <v>20220106</v>
      </c>
      <c r="B2219" s="9">
        <v>20220106</v>
      </c>
      <c r="C2219" s="9" t="s">
        <v>92</v>
      </c>
      <c r="D2219" s="9" t="s">
        <v>185</v>
      </c>
      <c r="E2219" s="9" t="s">
        <v>185</v>
      </c>
      <c r="F2219" s="9">
        <v>0</v>
      </c>
      <c r="G2219" s="9">
        <v>0</v>
      </c>
      <c r="H2219" s="9">
        <v>0.05</v>
      </c>
      <c r="I2219" s="9">
        <v>-0.05</v>
      </c>
      <c r="J2219" s="9">
        <v>4.95</v>
      </c>
      <c r="K2219" s="9">
        <v>0</v>
      </c>
    </row>
    <row r="2220" spans="1:11">
      <c r="A2220" s="9">
        <v>20220106</v>
      </c>
      <c r="B2220" s="9">
        <v>20220106</v>
      </c>
      <c r="C2220" s="9" t="s">
        <v>86</v>
      </c>
      <c r="D2220" s="9" t="s">
        <v>83</v>
      </c>
      <c r="E2220" s="9" t="s">
        <v>186</v>
      </c>
      <c r="F2220" s="9">
        <v>0</v>
      </c>
      <c r="G2220" s="9">
        <v>0</v>
      </c>
      <c r="H2220" s="9">
        <v>0</v>
      </c>
      <c r="I2220" s="9">
        <v>0.05</v>
      </c>
      <c r="J2220" s="9">
        <v>5</v>
      </c>
      <c r="K2220" s="9">
        <v>0</v>
      </c>
    </row>
    <row r="2221" spans="1:11">
      <c r="A2221" s="9">
        <v>20220107</v>
      </c>
      <c r="B2221" s="9">
        <v>20220107</v>
      </c>
      <c r="C2221" s="9" t="s">
        <v>92</v>
      </c>
      <c r="D2221" s="9" t="s">
        <v>185</v>
      </c>
      <c r="E2221" s="9" t="s">
        <v>185</v>
      </c>
      <c r="F2221" s="9">
        <v>0</v>
      </c>
      <c r="G2221" s="9">
        <v>0</v>
      </c>
      <c r="H2221" s="9">
        <v>0.05</v>
      </c>
      <c r="I2221" s="9">
        <v>-0.05</v>
      </c>
      <c r="J2221" s="9">
        <v>4.95</v>
      </c>
      <c r="K2221" s="9">
        <v>0</v>
      </c>
    </row>
    <row r="2222" spans="1:11">
      <c r="A2222" s="9">
        <v>20220107</v>
      </c>
      <c r="B2222" s="9">
        <v>20220107</v>
      </c>
      <c r="C2222" s="9" t="s">
        <v>86</v>
      </c>
      <c r="D2222" s="9" t="s">
        <v>83</v>
      </c>
      <c r="E2222" s="9" t="s">
        <v>186</v>
      </c>
      <c r="F2222" s="9">
        <v>0</v>
      </c>
      <c r="G2222" s="9">
        <v>1785</v>
      </c>
      <c r="H2222" s="9">
        <v>0</v>
      </c>
      <c r="I2222" s="9">
        <v>1785.05</v>
      </c>
      <c r="J2222" s="9">
        <v>1790</v>
      </c>
      <c r="K2222" s="9">
        <v>0</v>
      </c>
    </row>
    <row r="2223" spans="1:11">
      <c r="A2223" s="9">
        <v>20220107</v>
      </c>
      <c r="B2223" s="9">
        <v>20220105</v>
      </c>
      <c r="C2223" s="9" t="s">
        <v>187</v>
      </c>
      <c r="D2223" s="9" t="s">
        <v>103</v>
      </c>
      <c r="E2223" s="9" t="s">
        <v>188</v>
      </c>
      <c r="F2223" s="9">
        <v>3.57</v>
      </c>
      <c r="G2223" s="9">
        <v>500</v>
      </c>
      <c r="H2223" s="9">
        <v>1785</v>
      </c>
      <c r="I2223" s="9">
        <v>-1785</v>
      </c>
      <c r="J2223" s="9">
        <v>5</v>
      </c>
      <c r="K2223" s="9">
        <v>0</v>
      </c>
    </row>
    <row r="2224" spans="1:11">
      <c r="A2224" s="9">
        <v>20220110</v>
      </c>
      <c r="B2224" s="9">
        <v>20220110</v>
      </c>
      <c r="C2224" s="9" t="s">
        <v>92</v>
      </c>
      <c r="D2224" s="9" t="s">
        <v>185</v>
      </c>
      <c r="E2224" s="9" t="s">
        <v>185</v>
      </c>
      <c r="F2224" s="9">
        <v>0</v>
      </c>
      <c r="G2224" s="9">
        <v>0</v>
      </c>
      <c r="H2224" s="9">
        <v>0.15</v>
      </c>
      <c r="I2224" s="9">
        <v>-0.15</v>
      </c>
      <c r="J2224" s="9">
        <v>4.85</v>
      </c>
      <c r="K2224" s="9">
        <v>0</v>
      </c>
    </row>
    <row r="2225" spans="1:11">
      <c r="A2225" s="9">
        <v>20220110</v>
      </c>
      <c r="B2225" s="9">
        <v>20220110</v>
      </c>
      <c r="C2225" s="9" t="s">
        <v>86</v>
      </c>
      <c r="D2225" s="9" t="s">
        <v>83</v>
      </c>
      <c r="E2225" s="9" t="s">
        <v>186</v>
      </c>
      <c r="F2225" s="9">
        <v>0</v>
      </c>
      <c r="G2225" s="9">
        <v>0</v>
      </c>
      <c r="H2225" s="9">
        <v>0</v>
      </c>
      <c r="I2225" s="9">
        <v>0.05</v>
      </c>
      <c r="J2225" s="9">
        <v>5</v>
      </c>
      <c r="K2225" s="9">
        <v>0</v>
      </c>
    </row>
    <row r="2226" spans="1:11">
      <c r="A2226" s="9">
        <v>20220110</v>
      </c>
      <c r="B2226" s="9">
        <v>20220105</v>
      </c>
      <c r="C2226" s="9" t="s">
        <v>189</v>
      </c>
      <c r="D2226" s="9" t="s">
        <v>103</v>
      </c>
      <c r="E2226" s="9" t="s">
        <v>188</v>
      </c>
      <c r="F2226" s="9">
        <v>3.57</v>
      </c>
      <c r="G2226" s="9">
        <v>500</v>
      </c>
      <c r="H2226" s="9">
        <v>1785</v>
      </c>
      <c r="I2226" s="9">
        <v>0</v>
      </c>
      <c r="J2226" s="9">
        <v>5</v>
      </c>
      <c r="K2226" s="9">
        <v>500</v>
      </c>
    </row>
    <row r="2227" spans="1:11">
      <c r="A2227" s="9">
        <v>20220111</v>
      </c>
      <c r="B2227" s="9">
        <v>20220105</v>
      </c>
      <c r="C2227" s="9" t="s">
        <v>190</v>
      </c>
      <c r="D2227" s="9" t="s">
        <v>103</v>
      </c>
      <c r="E2227" s="9" t="s">
        <v>188</v>
      </c>
      <c r="F2227" s="9">
        <v>3.57</v>
      </c>
      <c r="G2227" s="9">
        <v>500</v>
      </c>
      <c r="H2227" s="9">
        <v>0</v>
      </c>
      <c r="I2227" s="9">
        <v>0</v>
      </c>
      <c r="J2227" s="9">
        <v>5</v>
      </c>
      <c r="K2227" s="9">
        <v>500</v>
      </c>
    </row>
    <row r="2228" spans="1:11">
      <c r="A2228" s="9">
        <v>20220111</v>
      </c>
      <c r="B2228" s="9">
        <v>20220105</v>
      </c>
      <c r="C2228" s="9" t="s">
        <v>191</v>
      </c>
      <c r="D2228" s="9" t="s">
        <v>103</v>
      </c>
      <c r="E2228" s="9" t="s">
        <v>188</v>
      </c>
      <c r="F2228" s="9">
        <v>3.57</v>
      </c>
      <c r="G2228" s="9">
        <v>500</v>
      </c>
      <c r="H2228" s="9">
        <v>1785</v>
      </c>
      <c r="I2228" s="9">
        <v>0</v>
      </c>
      <c r="J2228" s="9">
        <v>5</v>
      </c>
      <c r="K2228" s="9">
        <v>0</v>
      </c>
    </row>
    <row r="2229" spans="1:11">
      <c r="A2229" s="9">
        <v>20220111</v>
      </c>
      <c r="B2229" s="9">
        <v>20220111</v>
      </c>
      <c r="C2229" s="9" t="s">
        <v>86</v>
      </c>
      <c r="D2229" s="9" t="s">
        <v>83</v>
      </c>
      <c r="E2229" s="9" t="s">
        <v>186</v>
      </c>
      <c r="F2229" s="9">
        <v>0</v>
      </c>
      <c r="G2229" s="9">
        <v>0</v>
      </c>
      <c r="H2229" s="9">
        <v>0</v>
      </c>
      <c r="I2229" s="9">
        <v>0.15</v>
      </c>
      <c r="J2229" s="9">
        <v>5</v>
      </c>
      <c r="K2229" s="9">
        <v>0</v>
      </c>
    </row>
    <row r="2230" spans="1:11">
      <c r="A2230" s="9">
        <v>20220111</v>
      </c>
      <c r="B2230" s="9">
        <v>20220111</v>
      </c>
      <c r="C2230" s="9" t="s">
        <v>92</v>
      </c>
      <c r="D2230" s="9" t="s">
        <v>185</v>
      </c>
      <c r="E2230" s="9" t="s">
        <v>185</v>
      </c>
      <c r="F2230" s="9">
        <v>0</v>
      </c>
      <c r="G2230" s="9">
        <v>0</v>
      </c>
      <c r="H2230" s="9">
        <v>0.05</v>
      </c>
      <c r="I2230" s="9">
        <v>-0.05</v>
      </c>
      <c r="J2230" s="9">
        <v>4.95</v>
      </c>
      <c r="K2230" s="9">
        <v>0</v>
      </c>
    </row>
    <row r="2231" spans="1:11">
      <c r="A2231" s="9">
        <v>20220112</v>
      </c>
      <c r="B2231" s="9">
        <v>20220112</v>
      </c>
      <c r="C2231" s="9" t="s">
        <v>92</v>
      </c>
      <c r="D2231" s="9" t="s">
        <v>185</v>
      </c>
      <c r="E2231" s="9" t="s">
        <v>185</v>
      </c>
      <c r="F2231" s="9">
        <v>0</v>
      </c>
      <c r="G2231" s="9">
        <v>0</v>
      </c>
      <c r="H2231" s="9">
        <v>0.05</v>
      </c>
      <c r="I2231" s="9">
        <v>-0.05</v>
      </c>
      <c r="J2231" s="9">
        <v>4.95</v>
      </c>
      <c r="K2231" s="9">
        <v>0</v>
      </c>
    </row>
    <row r="2232" spans="1:11">
      <c r="A2232" s="9">
        <v>20220112</v>
      </c>
      <c r="B2232" s="9">
        <v>20220112</v>
      </c>
      <c r="C2232" s="9" t="s">
        <v>86</v>
      </c>
      <c r="D2232" s="9" t="s">
        <v>83</v>
      </c>
      <c r="E2232" s="9" t="s">
        <v>186</v>
      </c>
      <c r="F2232" s="9">
        <v>0</v>
      </c>
      <c r="G2232" s="9">
        <v>0</v>
      </c>
      <c r="H2232" s="9">
        <v>0</v>
      </c>
      <c r="I2232" s="9">
        <v>0.05</v>
      </c>
      <c r="J2232" s="9">
        <v>5</v>
      </c>
      <c r="K2232" s="9">
        <v>0</v>
      </c>
    </row>
    <row r="2233" spans="1:11">
      <c r="A2233" s="9">
        <v>20220113</v>
      </c>
      <c r="B2233" s="9">
        <v>20220113</v>
      </c>
      <c r="C2233" s="9" t="s">
        <v>92</v>
      </c>
      <c r="D2233" s="9" t="s">
        <v>185</v>
      </c>
      <c r="E2233" s="9" t="s">
        <v>185</v>
      </c>
      <c r="F2233" s="9">
        <v>0</v>
      </c>
      <c r="G2233" s="9">
        <v>0</v>
      </c>
      <c r="H2233" s="9">
        <v>0.05</v>
      </c>
      <c r="I2233" s="9">
        <v>-0.05</v>
      </c>
      <c r="J2233" s="9">
        <v>4.95</v>
      </c>
      <c r="K2233" s="9">
        <v>0</v>
      </c>
    </row>
    <row r="2234" spans="1:11">
      <c r="A2234" s="9">
        <v>20220113</v>
      </c>
      <c r="B2234" s="9">
        <v>20220113</v>
      </c>
      <c r="C2234" s="9" t="s">
        <v>86</v>
      </c>
      <c r="D2234" s="9" t="s">
        <v>83</v>
      </c>
      <c r="E2234" s="9" t="s">
        <v>186</v>
      </c>
      <c r="F2234" s="9">
        <v>0</v>
      </c>
      <c r="G2234" s="9">
        <v>0</v>
      </c>
      <c r="H2234" s="9">
        <v>0</v>
      </c>
      <c r="I2234" s="9">
        <v>0.05</v>
      </c>
      <c r="J2234" s="9">
        <v>5</v>
      </c>
      <c r="K2234" s="9">
        <v>0</v>
      </c>
    </row>
    <row r="2235" spans="1:11">
      <c r="A2235" s="9">
        <v>20220114</v>
      </c>
      <c r="B2235" s="9">
        <v>20220114</v>
      </c>
      <c r="C2235" s="9" t="s">
        <v>92</v>
      </c>
      <c r="D2235" s="9" t="s">
        <v>185</v>
      </c>
      <c r="E2235" s="9" t="s">
        <v>185</v>
      </c>
      <c r="F2235" s="9">
        <v>0</v>
      </c>
      <c r="G2235" s="9">
        <v>0</v>
      </c>
      <c r="H2235" s="9">
        <v>0.05</v>
      </c>
      <c r="I2235" s="9">
        <v>-0.05</v>
      </c>
      <c r="J2235" s="9">
        <v>4.95</v>
      </c>
      <c r="K2235" s="9">
        <v>0</v>
      </c>
    </row>
    <row r="2236" spans="1:11">
      <c r="A2236" s="9">
        <v>20220114</v>
      </c>
      <c r="B2236" s="9">
        <v>20220114</v>
      </c>
      <c r="C2236" s="9" t="s">
        <v>86</v>
      </c>
      <c r="D2236" s="9" t="s">
        <v>83</v>
      </c>
      <c r="E2236" s="9" t="s">
        <v>186</v>
      </c>
      <c r="F2236" s="9">
        <v>0</v>
      </c>
      <c r="G2236" s="9">
        <v>0</v>
      </c>
      <c r="H2236" s="9">
        <v>0</v>
      </c>
      <c r="I2236" s="9">
        <v>0.05</v>
      </c>
      <c r="J2236" s="9">
        <v>5</v>
      </c>
      <c r="K2236" s="9">
        <v>0</v>
      </c>
    </row>
    <row r="2237" spans="1:11">
      <c r="A2237" s="9">
        <v>20220117</v>
      </c>
      <c r="B2237" s="9">
        <v>20220117</v>
      </c>
      <c r="C2237" s="9" t="s">
        <v>92</v>
      </c>
      <c r="D2237" s="9" t="s">
        <v>185</v>
      </c>
      <c r="E2237" s="9" t="s">
        <v>185</v>
      </c>
      <c r="F2237" s="9">
        <v>0</v>
      </c>
      <c r="G2237" s="9">
        <v>0</v>
      </c>
      <c r="H2237" s="9">
        <v>0.15</v>
      </c>
      <c r="I2237" s="9">
        <v>-0.15</v>
      </c>
      <c r="J2237" s="9">
        <v>4.85</v>
      </c>
      <c r="K2237" s="9">
        <v>0</v>
      </c>
    </row>
    <row r="2238" spans="1:11">
      <c r="A2238" s="9">
        <v>20220117</v>
      </c>
      <c r="B2238" s="9">
        <v>20220117</v>
      </c>
      <c r="C2238" s="9" t="s">
        <v>86</v>
      </c>
      <c r="D2238" s="9" t="s">
        <v>83</v>
      </c>
      <c r="E2238" s="9" t="s">
        <v>186</v>
      </c>
      <c r="F2238" s="9">
        <v>0</v>
      </c>
      <c r="G2238" s="9">
        <v>0</v>
      </c>
      <c r="H2238" s="9">
        <v>0</v>
      </c>
      <c r="I2238" s="9">
        <v>0.05</v>
      </c>
      <c r="J2238" s="9">
        <v>5</v>
      </c>
      <c r="K2238" s="9">
        <v>0</v>
      </c>
    </row>
    <row r="2239" spans="1:11">
      <c r="A2239" s="9">
        <v>20220118</v>
      </c>
      <c r="B2239" s="9">
        <v>20220118</v>
      </c>
      <c r="C2239" s="9" t="s">
        <v>92</v>
      </c>
      <c r="D2239" s="9" t="s">
        <v>185</v>
      </c>
      <c r="E2239" s="9" t="s">
        <v>185</v>
      </c>
      <c r="F2239" s="9">
        <v>0</v>
      </c>
      <c r="G2239" s="9">
        <v>0</v>
      </c>
      <c r="H2239" s="9">
        <v>0.05</v>
      </c>
      <c r="I2239" s="9">
        <v>-0.05</v>
      </c>
      <c r="J2239" s="9">
        <v>4.95</v>
      </c>
      <c r="K2239" s="9">
        <v>0</v>
      </c>
    </row>
    <row r="2240" spans="1:11">
      <c r="A2240" s="9">
        <v>20220118</v>
      </c>
      <c r="B2240" s="9">
        <v>20220118</v>
      </c>
      <c r="C2240" s="9" t="s">
        <v>86</v>
      </c>
      <c r="D2240" s="9" t="s">
        <v>83</v>
      </c>
      <c r="E2240" s="9" t="s">
        <v>186</v>
      </c>
      <c r="F2240" s="9">
        <v>0</v>
      </c>
      <c r="G2240" s="9">
        <v>0</v>
      </c>
      <c r="H2240" s="9">
        <v>0</v>
      </c>
      <c r="I2240" s="9">
        <v>0.15</v>
      </c>
      <c r="J2240" s="9">
        <v>5</v>
      </c>
      <c r="K2240" s="9">
        <v>0</v>
      </c>
    </row>
    <row r="2241" spans="1:11">
      <c r="A2241" s="9">
        <v>20220119</v>
      </c>
      <c r="B2241" s="9">
        <v>20220119</v>
      </c>
      <c r="C2241" s="9" t="s">
        <v>92</v>
      </c>
      <c r="D2241" s="9" t="s">
        <v>185</v>
      </c>
      <c r="E2241" s="9" t="s">
        <v>185</v>
      </c>
      <c r="F2241" s="9">
        <v>0</v>
      </c>
      <c r="G2241" s="9">
        <v>0</v>
      </c>
      <c r="H2241" s="9">
        <v>0.05</v>
      </c>
      <c r="I2241" s="9">
        <v>-0.05</v>
      </c>
      <c r="J2241" s="9">
        <v>4.95</v>
      </c>
      <c r="K2241" s="9">
        <v>0</v>
      </c>
    </row>
    <row r="2242" spans="1:11">
      <c r="A2242" s="9">
        <v>20220119</v>
      </c>
      <c r="B2242" s="9">
        <v>20220119</v>
      </c>
      <c r="C2242" s="9" t="s">
        <v>85</v>
      </c>
      <c r="D2242" s="9" t="s">
        <v>83</v>
      </c>
      <c r="E2242" s="9" t="s">
        <v>186</v>
      </c>
      <c r="F2242" s="9">
        <v>0</v>
      </c>
      <c r="G2242" s="9">
        <v>0</v>
      </c>
      <c r="H2242" s="9">
        <v>0</v>
      </c>
      <c r="I2242" s="9">
        <v>-3091.85</v>
      </c>
      <c r="J2242" s="9">
        <v>-3086.9</v>
      </c>
      <c r="K2242" s="9">
        <v>0</v>
      </c>
    </row>
    <row r="2243" spans="1:11">
      <c r="A2243" s="9">
        <v>20220119</v>
      </c>
      <c r="B2243" s="9">
        <v>20220119</v>
      </c>
      <c r="C2243" s="9" t="s">
        <v>192</v>
      </c>
      <c r="D2243" s="9" t="s">
        <v>103</v>
      </c>
      <c r="E2243" s="9" t="s">
        <v>188</v>
      </c>
      <c r="F2243" s="9">
        <v>6.2</v>
      </c>
      <c r="G2243" s="9">
        <v>500</v>
      </c>
      <c r="H2243" s="9">
        <v>3100</v>
      </c>
      <c r="I2243" s="9">
        <v>3091.9</v>
      </c>
      <c r="J2243" s="9">
        <v>5</v>
      </c>
      <c r="K2243" s="9">
        <v>0</v>
      </c>
    </row>
    <row r="2244" spans="1:11">
      <c r="A2244" s="9">
        <v>20220120</v>
      </c>
      <c r="B2244" s="9">
        <v>20220120</v>
      </c>
      <c r="C2244" s="9" t="s">
        <v>86</v>
      </c>
      <c r="D2244" s="9" t="s">
        <v>83</v>
      </c>
      <c r="E2244" s="9" t="s">
        <v>186</v>
      </c>
      <c r="F2244" s="9">
        <v>0</v>
      </c>
      <c r="G2244" s="9">
        <v>0</v>
      </c>
      <c r="H2244" s="9">
        <v>0</v>
      </c>
      <c r="I2244" s="9">
        <v>0.05</v>
      </c>
      <c r="J2244" s="9">
        <v>5</v>
      </c>
      <c r="K2244" s="9">
        <v>0</v>
      </c>
    </row>
    <row r="2245" spans="1:11">
      <c r="A2245" s="9">
        <v>20220120</v>
      </c>
      <c r="B2245" s="9">
        <v>20220120</v>
      </c>
      <c r="C2245" s="9" t="s">
        <v>92</v>
      </c>
      <c r="D2245" s="9" t="s">
        <v>185</v>
      </c>
      <c r="E2245" s="9" t="s">
        <v>185</v>
      </c>
      <c r="F2245" s="9">
        <v>0</v>
      </c>
      <c r="G2245" s="9">
        <v>0</v>
      </c>
      <c r="H2245" s="9">
        <v>0.05</v>
      </c>
      <c r="I2245" s="9">
        <v>-0.05</v>
      </c>
      <c r="J2245" s="9">
        <v>4.95</v>
      </c>
      <c r="K2245" s="9">
        <v>0</v>
      </c>
    </row>
    <row r="2246" spans="1:11">
      <c r="A2246" s="9">
        <v>20220121</v>
      </c>
      <c r="B2246" s="9">
        <v>20220121</v>
      </c>
      <c r="C2246" s="9" t="s">
        <v>92</v>
      </c>
      <c r="D2246" s="9" t="s">
        <v>185</v>
      </c>
      <c r="E2246" s="9" t="s">
        <v>185</v>
      </c>
      <c r="F2246" s="9">
        <v>0</v>
      </c>
      <c r="G2246" s="9">
        <v>0</v>
      </c>
      <c r="H2246" s="9">
        <v>0.05</v>
      </c>
      <c r="I2246" s="9">
        <v>-0.05</v>
      </c>
      <c r="J2246" s="9">
        <v>4.95</v>
      </c>
      <c r="K2246" s="9">
        <v>0</v>
      </c>
    </row>
    <row r="2247" spans="1:11">
      <c r="A2247" s="9">
        <v>20220121</v>
      </c>
      <c r="B2247" s="9">
        <v>20220121</v>
      </c>
      <c r="C2247" s="9" t="s">
        <v>86</v>
      </c>
      <c r="D2247" s="9" t="s">
        <v>83</v>
      </c>
      <c r="E2247" s="9" t="s">
        <v>186</v>
      </c>
      <c r="F2247" s="9">
        <v>0</v>
      </c>
      <c r="G2247" s="9">
        <v>0</v>
      </c>
      <c r="H2247" s="9">
        <v>0</v>
      </c>
      <c r="I2247" s="9">
        <v>0.05</v>
      </c>
      <c r="J2247" s="9">
        <v>5</v>
      </c>
      <c r="K2247" s="9">
        <v>0</v>
      </c>
    </row>
    <row r="2248" spans="1:11">
      <c r="A2248" s="9">
        <v>20220124</v>
      </c>
      <c r="B2248" s="9">
        <v>20220124</v>
      </c>
      <c r="C2248" s="9" t="s">
        <v>86</v>
      </c>
      <c r="D2248" s="9" t="s">
        <v>83</v>
      </c>
      <c r="E2248" s="9" t="s">
        <v>186</v>
      </c>
      <c r="F2248" s="9">
        <v>0</v>
      </c>
      <c r="G2248" s="9">
        <v>0</v>
      </c>
      <c r="H2248" s="9">
        <v>0</v>
      </c>
      <c r="I2248" s="9">
        <v>0.05</v>
      </c>
      <c r="J2248" s="9">
        <v>5</v>
      </c>
      <c r="K2248" s="9">
        <v>0</v>
      </c>
    </row>
    <row r="2249" spans="1:11">
      <c r="A2249" s="9">
        <v>20220124</v>
      </c>
      <c r="B2249" s="9">
        <v>20220124</v>
      </c>
      <c r="C2249" s="9" t="s">
        <v>92</v>
      </c>
      <c r="D2249" s="9" t="s">
        <v>185</v>
      </c>
      <c r="E2249" s="9" t="s">
        <v>185</v>
      </c>
      <c r="F2249" s="9">
        <v>0</v>
      </c>
      <c r="G2249" s="9">
        <v>0</v>
      </c>
      <c r="H2249" s="9">
        <v>0.15</v>
      </c>
      <c r="I2249" s="9">
        <v>-0.15</v>
      </c>
      <c r="J2249" s="9">
        <v>4.85</v>
      </c>
      <c r="K2249" s="9">
        <v>0</v>
      </c>
    </row>
    <row r="2250" spans="1:11">
      <c r="A2250" s="9">
        <v>20220125</v>
      </c>
      <c r="B2250" s="9">
        <v>20220125</v>
      </c>
      <c r="C2250" s="9" t="s">
        <v>86</v>
      </c>
      <c r="D2250" s="9" t="s">
        <v>83</v>
      </c>
      <c r="E2250" s="9" t="s">
        <v>186</v>
      </c>
      <c r="F2250" s="9">
        <v>0</v>
      </c>
      <c r="G2250" s="9">
        <v>0</v>
      </c>
      <c r="H2250" s="9">
        <v>0</v>
      </c>
      <c r="I2250" s="9">
        <v>0.15</v>
      </c>
      <c r="J2250" s="9">
        <v>5</v>
      </c>
      <c r="K2250" s="9">
        <v>0</v>
      </c>
    </row>
    <row r="2251" spans="1:11">
      <c r="A2251" s="9">
        <v>20220125</v>
      </c>
      <c r="B2251" s="9">
        <v>20220125</v>
      </c>
      <c r="C2251" s="9" t="s">
        <v>92</v>
      </c>
      <c r="D2251" s="9" t="s">
        <v>185</v>
      </c>
      <c r="E2251" s="9" t="s">
        <v>185</v>
      </c>
      <c r="F2251" s="9">
        <v>0</v>
      </c>
      <c r="G2251" s="9">
        <v>0</v>
      </c>
      <c r="H2251" s="9">
        <v>0.05</v>
      </c>
      <c r="I2251" s="9">
        <v>-0.05</v>
      </c>
      <c r="J2251" s="9">
        <v>4.95</v>
      </c>
      <c r="K2251" s="9">
        <v>0</v>
      </c>
    </row>
    <row r="2252" spans="1:11">
      <c r="A2252" s="9">
        <v>20220126</v>
      </c>
      <c r="B2252" s="9">
        <v>20220126</v>
      </c>
      <c r="C2252" s="9" t="s">
        <v>92</v>
      </c>
      <c r="D2252" s="9" t="s">
        <v>185</v>
      </c>
      <c r="E2252" s="9" t="s">
        <v>185</v>
      </c>
      <c r="F2252" s="9">
        <v>0</v>
      </c>
      <c r="G2252" s="9">
        <v>0</v>
      </c>
      <c r="H2252" s="9">
        <v>0.05</v>
      </c>
      <c r="I2252" s="9">
        <v>-0.05</v>
      </c>
      <c r="J2252" s="9">
        <v>4.95</v>
      </c>
      <c r="K2252" s="9">
        <v>0</v>
      </c>
    </row>
    <row r="2253" spans="1:11">
      <c r="A2253" s="9">
        <v>20220126</v>
      </c>
      <c r="B2253" s="9">
        <v>20220126</v>
      </c>
      <c r="C2253" s="9" t="s">
        <v>86</v>
      </c>
      <c r="D2253" s="9" t="s">
        <v>83</v>
      </c>
      <c r="E2253" s="9" t="s">
        <v>186</v>
      </c>
      <c r="F2253" s="9">
        <v>0</v>
      </c>
      <c r="G2253" s="9">
        <v>0</v>
      </c>
      <c r="H2253" s="9">
        <v>0</v>
      </c>
      <c r="I2253" s="9">
        <v>0.05</v>
      </c>
      <c r="J2253" s="9">
        <v>5</v>
      </c>
      <c r="K2253" s="9">
        <v>0</v>
      </c>
    </row>
    <row r="2254" spans="1:11">
      <c r="A2254" s="9">
        <v>20220127</v>
      </c>
      <c r="B2254" s="9">
        <v>20220127</v>
      </c>
      <c r="C2254" s="9" t="s">
        <v>92</v>
      </c>
      <c r="D2254" s="9" t="s">
        <v>185</v>
      </c>
      <c r="E2254" s="9" t="s">
        <v>185</v>
      </c>
      <c r="F2254" s="9">
        <v>0</v>
      </c>
      <c r="G2254" s="9">
        <v>0</v>
      </c>
      <c r="H2254" s="9">
        <v>0.05</v>
      </c>
      <c r="I2254" s="9">
        <v>-0.05</v>
      </c>
      <c r="J2254" s="9">
        <v>4.95</v>
      </c>
      <c r="K2254" s="9">
        <v>0</v>
      </c>
    </row>
    <row r="2255" spans="1:11">
      <c r="A2255" s="9">
        <v>20220127</v>
      </c>
      <c r="B2255" s="9">
        <v>20220127</v>
      </c>
      <c r="C2255" s="9" t="s">
        <v>86</v>
      </c>
      <c r="D2255" s="9" t="s">
        <v>83</v>
      </c>
      <c r="E2255" s="9" t="s">
        <v>186</v>
      </c>
      <c r="F2255" s="9">
        <v>0</v>
      </c>
      <c r="G2255" s="9">
        <v>0</v>
      </c>
      <c r="H2255" s="9">
        <v>0</v>
      </c>
      <c r="I2255" s="9">
        <v>0.05</v>
      </c>
      <c r="J2255" s="9">
        <v>5</v>
      </c>
      <c r="K2255" s="9">
        <v>0</v>
      </c>
    </row>
    <row r="2256" spans="1:11">
      <c r="A2256" s="9">
        <v>20220128</v>
      </c>
      <c r="B2256" s="9">
        <v>20220128</v>
      </c>
      <c r="C2256" s="9" t="s">
        <v>92</v>
      </c>
      <c r="D2256" s="9" t="s">
        <v>185</v>
      </c>
      <c r="E2256" s="9" t="s">
        <v>185</v>
      </c>
      <c r="F2256" s="9">
        <v>0</v>
      </c>
      <c r="G2256" s="9">
        <v>0</v>
      </c>
      <c r="H2256" s="9">
        <v>0.05</v>
      </c>
      <c r="I2256" s="9">
        <v>-0.05</v>
      </c>
      <c r="J2256" s="9">
        <v>4.95</v>
      </c>
      <c r="K2256" s="9">
        <v>0</v>
      </c>
    </row>
    <row r="2257" spans="1:11">
      <c r="A2257" s="9">
        <v>20220128</v>
      </c>
      <c r="B2257" s="9">
        <v>20220128</v>
      </c>
      <c r="C2257" s="9" t="s">
        <v>86</v>
      </c>
      <c r="D2257" s="9" t="s">
        <v>83</v>
      </c>
      <c r="E2257" s="9" t="s">
        <v>186</v>
      </c>
      <c r="F2257" s="9">
        <v>0</v>
      </c>
      <c r="G2257" s="9">
        <v>0</v>
      </c>
      <c r="H2257" s="9">
        <v>0</v>
      </c>
      <c r="I2257" s="9">
        <v>0.05</v>
      </c>
      <c r="J2257" s="9">
        <v>5</v>
      </c>
      <c r="K2257" s="9">
        <v>0</v>
      </c>
    </row>
    <row r="2258" spans="1:11">
      <c r="A2258" s="9">
        <v>20220207</v>
      </c>
      <c r="B2258" s="9">
        <v>20220207</v>
      </c>
      <c r="C2258" s="9" t="s">
        <v>92</v>
      </c>
      <c r="D2258" s="9" t="s">
        <v>185</v>
      </c>
      <c r="E2258" s="9" t="s">
        <v>185</v>
      </c>
      <c r="F2258" s="9">
        <v>0</v>
      </c>
      <c r="G2258" s="9">
        <v>0</v>
      </c>
      <c r="H2258" s="9">
        <v>0.49</v>
      </c>
      <c r="I2258" s="9">
        <v>-0.49</v>
      </c>
      <c r="J2258" s="9">
        <v>4.51</v>
      </c>
      <c r="K2258" s="9">
        <v>0</v>
      </c>
    </row>
    <row r="2259" spans="1:11">
      <c r="A2259" s="9">
        <v>20220207</v>
      </c>
      <c r="B2259" s="9">
        <v>20220207</v>
      </c>
      <c r="C2259" s="9" t="s">
        <v>86</v>
      </c>
      <c r="D2259" s="9" t="s">
        <v>83</v>
      </c>
      <c r="E2259" s="9" t="s">
        <v>186</v>
      </c>
      <c r="F2259" s="9">
        <v>0</v>
      </c>
      <c r="G2259" s="9">
        <v>0</v>
      </c>
      <c r="H2259" s="9">
        <v>0</v>
      </c>
      <c r="I2259" s="9">
        <v>0.05</v>
      </c>
      <c r="J2259" s="9">
        <v>5</v>
      </c>
      <c r="K2259" s="9">
        <v>0</v>
      </c>
    </row>
    <row r="2260" spans="1:11">
      <c r="A2260" s="9">
        <v>20220208</v>
      </c>
      <c r="B2260" s="9">
        <v>20220208</v>
      </c>
      <c r="C2260" s="9" t="s">
        <v>86</v>
      </c>
      <c r="D2260" s="9" t="s">
        <v>83</v>
      </c>
      <c r="E2260" s="9" t="s">
        <v>186</v>
      </c>
      <c r="F2260" s="9">
        <v>0</v>
      </c>
      <c r="G2260" s="9">
        <v>0</v>
      </c>
      <c r="H2260" s="9">
        <v>0</v>
      </c>
      <c r="I2260" s="9">
        <v>0.49</v>
      </c>
      <c r="J2260" s="9">
        <v>5</v>
      </c>
      <c r="K2260" s="9">
        <v>0</v>
      </c>
    </row>
    <row r="2261" spans="1:11">
      <c r="A2261" s="9">
        <v>20220208</v>
      </c>
      <c r="B2261" s="9">
        <v>20220208</v>
      </c>
      <c r="C2261" s="9" t="s">
        <v>92</v>
      </c>
      <c r="D2261" s="9" t="s">
        <v>185</v>
      </c>
      <c r="E2261" s="9" t="s">
        <v>185</v>
      </c>
      <c r="F2261" s="9">
        <v>0</v>
      </c>
      <c r="G2261" s="9">
        <v>0</v>
      </c>
      <c r="H2261" s="9">
        <v>0.05</v>
      </c>
      <c r="I2261" s="9">
        <v>-0.05</v>
      </c>
      <c r="J2261" s="9">
        <v>4.95</v>
      </c>
      <c r="K2261" s="9">
        <v>0</v>
      </c>
    </row>
    <row r="2262" spans="1:11">
      <c r="A2262" s="9">
        <v>20220209</v>
      </c>
      <c r="B2262" s="9">
        <v>20220209</v>
      </c>
      <c r="C2262" s="9" t="s">
        <v>86</v>
      </c>
      <c r="D2262" s="9" t="s">
        <v>83</v>
      </c>
      <c r="E2262" s="9" t="s">
        <v>186</v>
      </c>
      <c r="F2262" s="9">
        <v>0</v>
      </c>
      <c r="G2262" s="9">
        <v>0</v>
      </c>
      <c r="H2262" s="9">
        <v>0</v>
      </c>
      <c r="I2262" s="9">
        <v>0.05</v>
      </c>
      <c r="J2262" s="9">
        <v>5</v>
      </c>
      <c r="K2262" s="9">
        <v>0</v>
      </c>
    </row>
    <row r="2263" spans="1:11">
      <c r="A2263" s="9">
        <v>20220209</v>
      </c>
      <c r="B2263" s="9">
        <v>20220209</v>
      </c>
      <c r="C2263" s="9" t="s">
        <v>92</v>
      </c>
      <c r="D2263" s="9" t="s">
        <v>185</v>
      </c>
      <c r="E2263" s="9" t="s">
        <v>185</v>
      </c>
      <c r="F2263" s="9">
        <v>0</v>
      </c>
      <c r="G2263" s="9">
        <v>0</v>
      </c>
      <c r="H2263" s="9">
        <v>0.05</v>
      </c>
      <c r="I2263" s="9">
        <v>-0.05</v>
      </c>
      <c r="J2263" s="9">
        <v>4.95</v>
      </c>
      <c r="K2263" s="9">
        <v>0</v>
      </c>
    </row>
    <row r="2264" spans="1:11">
      <c r="A2264" s="9">
        <v>20220210</v>
      </c>
      <c r="B2264" s="9">
        <v>20220210</v>
      </c>
      <c r="C2264" s="9" t="s">
        <v>86</v>
      </c>
      <c r="D2264" s="9" t="s">
        <v>83</v>
      </c>
      <c r="E2264" s="9" t="s">
        <v>186</v>
      </c>
      <c r="F2264" s="9">
        <v>0</v>
      </c>
      <c r="G2264" s="9">
        <v>0</v>
      </c>
      <c r="H2264" s="9">
        <v>0</v>
      </c>
      <c r="I2264" s="9">
        <v>0.05</v>
      </c>
      <c r="J2264" s="9">
        <v>5</v>
      </c>
      <c r="K2264" s="9">
        <v>0</v>
      </c>
    </row>
    <row r="2265" spans="1:11">
      <c r="A2265" s="9">
        <v>20220210</v>
      </c>
      <c r="B2265" s="9">
        <v>20220210</v>
      </c>
      <c r="C2265" s="9" t="s">
        <v>92</v>
      </c>
      <c r="D2265" s="9" t="s">
        <v>185</v>
      </c>
      <c r="E2265" s="9" t="s">
        <v>185</v>
      </c>
      <c r="F2265" s="9">
        <v>0</v>
      </c>
      <c r="G2265" s="9">
        <v>0</v>
      </c>
      <c r="H2265" s="9">
        <v>0.05</v>
      </c>
      <c r="I2265" s="9">
        <v>-0.05</v>
      </c>
      <c r="J2265" s="9">
        <v>4.95</v>
      </c>
      <c r="K2265" s="9">
        <v>0</v>
      </c>
    </row>
    <row r="2266" spans="1:11">
      <c r="A2266" s="9">
        <v>20220211</v>
      </c>
      <c r="B2266" s="9">
        <v>20220211</v>
      </c>
      <c r="C2266" s="9" t="s">
        <v>86</v>
      </c>
      <c r="D2266" s="9" t="s">
        <v>83</v>
      </c>
      <c r="E2266" s="9" t="s">
        <v>186</v>
      </c>
      <c r="F2266" s="9">
        <v>0</v>
      </c>
      <c r="G2266" s="9">
        <v>0</v>
      </c>
      <c r="H2266" s="9">
        <v>0</v>
      </c>
      <c r="I2266" s="9">
        <v>0.05</v>
      </c>
      <c r="J2266" s="9">
        <v>5</v>
      </c>
      <c r="K2266" s="9">
        <v>0</v>
      </c>
    </row>
    <row r="2267" spans="1:11">
      <c r="A2267" s="9">
        <v>20220211</v>
      </c>
      <c r="B2267" s="9">
        <v>20220211</v>
      </c>
      <c r="C2267" s="9" t="s">
        <v>92</v>
      </c>
      <c r="D2267" s="9" t="s">
        <v>185</v>
      </c>
      <c r="E2267" s="9" t="s">
        <v>185</v>
      </c>
      <c r="F2267" s="9">
        <v>0</v>
      </c>
      <c r="G2267" s="9">
        <v>0</v>
      </c>
      <c r="H2267" s="9">
        <v>0.05</v>
      </c>
      <c r="I2267" s="9">
        <v>-0.05</v>
      </c>
      <c r="J2267" s="9">
        <v>4.95</v>
      </c>
      <c r="K2267" s="9">
        <v>0</v>
      </c>
    </row>
    <row r="2268" spans="1:11">
      <c r="A2268" s="9">
        <v>20220214</v>
      </c>
      <c r="B2268" s="9">
        <v>20220214</v>
      </c>
      <c r="C2268" s="9" t="s">
        <v>92</v>
      </c>
      <c r="D2268" s="9" t="s">
        <v>185</v>
      </c>
      <c r="E2268" s="9" t="s">
        <v>185</v>
      </c>
      <c r="F2268" s="9">
        <v>0</v>
      </c>
      <c r="G2268" s="9">
        <v>0</v>
      </c>
      <c r="H2268" s="9">
        <v>0.15</v>
      </c>
      <c r="I2268" s="9">
        <v>-0.15</v>
      </c>
      <c r="J2268" s="9">
        <v>4.85</v>
      </c>
      <c r="K2268" s="9">
        <v>0</v>
      </c>
    </row>
    <row r="2269" spans="1:11">
      <c r="A2269" s="9">
        <v>20220214</v>
      </c>
      <c r="B2269" s="9">
        <v>20220214</v>
      </c>
      <c r="C2269" s="9" t="s">
        <v>86</v>
      </c>
      <c r="D2269" s="9" t="s">
        <v>83</v>
      </c>
      <c r="E2269" s="9" t="s">
        <v>186</v>
      </c>
      <c r="F2269" s="9">
        <v>0</v>
      </c>
      <c r="G2269" s="9">
        <v>0</v>
      </c>
      <c r="H2269" s="9">
        <v>0</v>
      </c>
      <c r="I2269" s="9">
        <v>0.05</v>
      </c>
      <c r="J2269" s="9">
        <v>5</v>
      </c>
      <c r="K2269" s="9">
        <v>0</v>
      </c>
    </row>
    <row r="2270" spans="1:11">
      <c r="A2270" s="9">
        <v>20220215</v>
      </c>
      <c r="B2270" s="9">
        <v>20220215</v>
      </c>
      <c r="C2270" s="9" t="s">
        <v>86</v>
      </c>
      <c r="D2270" s="9" t="s">
        <v>83</v>
      </c>
      <c r="E2270" s="9" t="s">
        <v>186</v>
      </c>
      <c r="F2270" s="9">
        <v>0</v>
      </c>
      <c r="G2270" s="9">
        <v>0</v>
      </c>
      <c r="H2270" s="9">
        <v>0</v>
      </c>
      <c r="I2270" s="9">
        <v>0.15</v>
      </c>
      <c r="J2270" s="9">
        <v>5</v>
      </c>
      <c r="K2270" s="9">
        <v>0</v>
      </c>
    </row>
    <row r="2271" spans="1:11">
      <c r="A2271" s="9">
        <v>20220215</v>
      </c>
      <c r="B2271" s="9">
        <v>20220215</v>
      </c>
      <c r="C2271" s="9" t="s">
        <v>92</v>
      </c>
      <c r="D2271" s="9" t="s">
        <v>185</v>
      </c>
      <c r="E2271" s="9" t="s">
        <v>185</v>
      </c>
      <c r="F2271" s="9">
        <v>0</v>
      </c>
      <c r="G2271" s="9">
        <v>0</v>
      </c>
      <c r="H2271" s="9">
        <v>0.05</v>
      </c>
      <c r="I2271" s="9">
        <v>-0.05</v>
      </c>
      <c r="J2271" s="9">
        <v>4.95</v>
      </c>
      <c r="K2271" s="9">
        <v>0</v>
      </c>
    </row>
    <row r="2272" spans="1:11">
      <c r="A2272" s="9">
        <v>20220216</v>
      </c>
      <c r="B2272" s="9">
        <v>20220216</v>
      </c>
      <c r="C2272" s="9" t="s">
        <v>92</v>
      </c>
      <c r="D2272" s="9" t="s">
        <v>185</v>
      </c>
      <c r="E2272" s="9" t="s">
        <v>185</v>
      </c>
      <c r="F2272" s="9">
        <v>0</v>
      </c>
      <c r="G2272" s="9">
        <v>0</v>
      </c>
      <c r="H2272" s="9">
        <v>0.05</v>
      </c>
      <c r="I2272" s="9">
        <v>-0.05</v>
      </c>
      <c r="J2272" s="9">
        <v>4.95</v>
      </c>
      <c r="K2272" s="9">
        <v>0</v>
      </c>
    </row>
    <row r="2273" spans="1:11">
      <c r="A2273" s="9">
        <v>20220216</v>
      </c>
      <c r="B2273" s="9">
        <v>20220216</v>
      </c>
      <c r="C2273" s="9" t="s">
        <v>86</v>
      </c>
      <c r="D2273" s="9" t="s">
        <v>83</v>
      </c>
      <c r="E2273" s="9" t="s">
        <v>186</v>
      </c>
      <c r="F2273" s="9">
        <v>0</v>
      </c>
      <c r="G2273" s="9">
        <v>0</v>
      </c>
      <c r="H2273" s="9">
        <v>0</v>
      </c>
      <c r="I2273" s="9">
        <v>0.05</v>
      </c>
      <c r="J2273" s="9">
        <v>5</v>
      </c>
      <c r="K2273" s="9">
        <v>0</v>
      </c>
    </row>
    <row r="2274" spans="1:11">
      <c r="A2274" s="9">
        <v>20220217</v>
      </c>
      <c r="B2274" s="9">
        <v>20220217</v>
      </c>
      <c r="C2274" s="9" t="s">
        <v>92</v>
      </c>
      <c r="D2274" s="9" t="s">
        <v>185</v>
      </c>
      <c r="E2274" s="9" t="s">
        <v>185</v>
      </c>
      <c r="F2274" s="9">
        <v>0</v>
      </c>
      <c r="G2274" s="9">
        <v>0</v>
      </c>
      <c r="H2274" s="9">
        <v>0.05</v>
      </c>
      <c r="I2274" s="9">
        <v>-0.05</v>
      </c>
      <c r="J2274" s="9">
        <v>4.95</v>
      </c>
      <c r="K2274" s="9">
        <v>0</v>
      </c>
    </row>
    <row r="2275" spans="1:11">
      <c r="A2275" s="9">
        <v>20220217</v>
      </c>
      <c r="B2275" s="9">
        <v>20220217</v>
      </c>
      <c r="C2275" s="9" t="s">
        <v>86</v>
      </c>
      <c r="D2275" s="9" t="s">
        <v>83</v>
      </c>
      <c r="E2275" s="9" t="s">
        <v>186</v>
      </c>
      <c r="F2275" s="9">
        <v>0</v>
      </c>
      <c r="G2275" s="9">
        <v>0</v>
      </c>
      <c r="H2275" s="9">
        <v>0</v>
      </c>
      <c r="I2275" s="9">
        <v>0.05</v>
      </c>
      <c r="J2275" s="9">
        <v>5</v>
      </c>
      <c r="K2275" s="9">
        <v>0</v>
      </c>
    </row>
    <row r="2276" spans="1:11">
      <c r="A2276" s="9">
        <v>20220218</v>
      </c>
      <c r="B2276" s="9">
        <v>20220218</v>
      </c>
      <c r="C2276" s="9" t="s">
        <v>86</v>
      </c>
      <c r="D2276" s="9" t="s">
        <v>83</v>
      </c>
      <c r="E2276" s="9" t="s">
        <v>186</v>
      </c>
      <c r="F2276" s="9">
        <v>0</v>
      </c>
      <c r="G2276" s="9">
        <v>0</v>
      </c>
      <c r="H2276" s="9">
        <v>0</v>
      </c>
      <c r="I2276" s="9">
        <v>0.05</v>
      </c>
      <c r="J2276" s="9">
        <v>5</v>
      </c>
      <c r="K2276" s="9">
        <v>0</v>
      </c>
    </row>
    <row r="2277" spans="1:11">
      <c r="A2277" s="9">
        <v>20220218</v>
      </c>
      <c r="B2277" s="9">
        <v>20220218</v>
      </c>
      <c r="C2277" s="9" t="s">
        <v>92</v>
      </c>
      <c r="D2277" s="9" t="s">
        <v>185</v>
      </c>
      <c r="E2277" s="9" t="s">
        <v>185</v>
      </c>
      <c r="F2277" s="9">
        <v>0</v>
      </c>
      <c r="G2277" s="9">
        <v>0</v>
      </c>
      <c r="H2277" s="9">
        <v>0.05</v>
      </c>
      <c r="I2277" s="9">
        <v>-0.05</v>
      </c>
      <c r="J2277" s="9">
        <v>4.95</v>
      </c>
      <c r="K2277" s="9">
        <v>0</v>
      </c>
    </row>
    <row r="2278" spans="1:11">
      <c r="A2278" s="9">
        <v>20220221</v>
      </c>
      <c r="B2278" s="9">
        <v>20220221</v>
      </c>
      <c r="C2278" s="9" t="s">
        <v>92</v>
      </c>
      <c r="D2278" s="9" t="s">
        <v>185</v>
      </c>
      <c r="E2278" s="9" t="s">
        <v>185</v>
      </c>
      <c r="F2278" s="9">
        <v>0</v>
      </c>
      <c r="G2278" s="9">
        <v>0</v>
      </c>
      <c r="H2278" s="9">
        <v>0.15</v>
      </c>
      <c r="I2278" s="9">
        <v>-0.15</v>
      </c>
      <c r="J2278" s="9">
        <v>4.85</v>
      </c>
      <c r="K2278" s="9">
        <v>0</v>
      </c>
    </row>
    <row r="2279" spans="1:11">
      <c r="A2279" s="9">
        <v>20220221</v>
      </c>
      <c r="B2279" s="9">
        <v>20220221</v>
      </c>
      <c r="C2279" s="9" t="s">
        <v>86</v>
      </c>
      <c r="D2279" s="9" t="s">
        <v>83</v>
      </c>
      <c r="E2279" s="9" t="s">
        <v>186</v>
      </c>
      <c r="F2279" s="9">
        <v>0</v>
      </c>
      <c r="G2279" s="9">
        <v>0</v>
      </c>
      <c r="H2279" s="9">
        <v>0</v>
      </c>
      <c r="I2279" s="9">
        <v>0.05</v>
      </c>
      <c r="J2279" s="9">
        <v>5</v>
      </c>
      <c r="K2279" s="9">
        <v>0</v>
      </c>
    </row>
    <row r="2280" spans="1:11">
      <c r="A2280" s="9">
        <v>20220222</v>
      </c>
      <c r="B2280" s="9">
        <v>20220222</v>
      </c>
      <c r="C2280" s="9" t="s">
        <v>86</v>
      </c>
      <c r="D2280" s="9" t="s">
        <v>83</v>
      </c>
      <c r="E2280" s="9" t="s">
        <v>186</v>
      </c>
      <c r="F2280" s="9">
        <v>0</v>
      </c>
      <c r="G2280" s="9">
        <v>0</v>
      </c>
      <c r="H2280" s="9">
        <v>0</v>
      </c>
      <c r="I2280" s="9">
        <v>0.15</v>
      </c>
      <c r="J2280" s="9">
        <v>5</v>
      </c>
      <c r="K2280" s="9">
        <v>0</v>
      </c>
    </row>
    <row r="2281" spans="1:11">
      <c r="A2281" s="9">
        <v>20220222</v>
      </c>
      <c r="B2281" s="9">
        <v>20220222</v>
      </c>
      <c r="C2281" s="9" t="s">
        <v>92</v>
      </c>
      <c r="D2281" s="9" t="s">
        <v>185</v>
      </c>
      <c r="E2281" s="9" t="s">
        <v>185</v>
      </c>
      <c r="F2281" s="9">
        <v>0</v>
      </c>
      <c r="G2281" s="9">
        <v>0</v>
      </c>
      <c r="H2281" s="9">
        <v>0.05</v>
      </c>
      <c r="I2281" s="9">
        <v>-0.05</v>
      </c>
      <c r="J2281" s="9">
        <v>4.95</v>
      </c>
      <c r="K2281" s="9">
        <v>0</v>
      </c>
    </row>
    <row r="2282" spans="1:11">
      <c r="A2282" s="9">
        <v>20220223</v>
      </c>
      <c r="B2282" s="9">
        <v>20220223</v>
      </c>
      <c r="C2282" s="9" t="s">
        <v>92</v>
      </c>
      <c r="D2282" s="9" t="s">
        <v>185</v>
      </c>
      <c r="E2282" s="9" t="s">
        <v>185</v>
      </c>
      <c r="F2282" s="9">
        <v>0</v>
      </c>
      <c r="G2282" s="9">
        <v>0</v>
      </c>
      <c r="H2282" s="9">
        <v>0.05</v>
      </c>
      <c r="I2282" s="9">
        <v>-0.05</v>
      </c>
      <c r="J2282" s="9">
        <v>4.95</v>
      </c>
      <c r="K2282" s="9">
        <v>0</v>
      </c>
    </row>
    <row r="2283" spans="1:11">
      <c r="A2283" s="9">
        <v>20220223</v>
      </c>
      <c r="B2283" s="9">
        <v>20220223</v>
      </c>
      <c r="C2283" s="9" t="s">
        <v>86</v>
      </c>
      <c r="D2283" s="9" t="s">
        <v>83</v>
      </c>
      <c r="E2283" s="9" t="s">
        <v>186</v>
      </c>
      <c r="F2283" s="9">
        <v>0</v>
      </c>
      <c r="G2283" s="9">
        <v>0</v>
      </c>
      <c r="H2283" s="9">
        <v>0</v>
      </c>
      <c r="I2283" s="9">
        <v>0.05</v>
      </c>
      <c r="J2283" s="9">
        <v>5</v>
      </c>
      <c r="K2283" s="9">
        <v>0</v>
      </c>
    </row>
    <row r="2284" spans="1:11">
      <c r="A2284" s="9">
        <v>20220224</v>
      </c>
      <c r="B2284" s="9">
        <v>20220224</v>
      </c>
      <c r="C2284" s="9" t="s">
        <v>86</v>
      </c>
      <c r="D2284" s="9" t="s">
        <v>83</v>
      </c>
      <c r="E2284" s="9" t="s">
        <v>186</v>
      </c>
      <c r="F2284" s="9">
        <v>0</v>
      </c>
      <c r="G2284" s="9">
        <v>0</v>
      </c>
      <c r="H2284" s="9">
        <v>0</v>
      </c>
      <c r="I2284" s="9">
        <v>0.05</v>
      </c>
      <c r="J2284" s="9">
        <v>5</v>
      </c>
      <c r="K2284" s="9">
        <v>0</v>
      </c>
    </row>
    <row r="2285" spans="1:11">
      <c r="A2285" s="9">
        <v>20220224</v>
      </c>
      <c r="B2285" s="9">
        <v>20220224</v>
      </c>
      <c r="C2285" s="9" t="s">
        <v>92</v>
      </c>
      <c r="D2285" s="9" t="s">
        <v>185</v>
      </c>
      <c r="E2285" s="9" t="s">
        <v>185</v>
      </c>
      <c r="F2285" s="9">
        <v>0</v>
      </c>
      <c r="G2285" s="9">
        <v>0</v>
      </c>
      <c r="H2285" s="9">
        <v>0.05</v>
      </c>
      <c r="I2285" s="9">
        <v>-0.05</v>
      </c>
      <c r="J2285" s="9">
        <v>4.95</v>
      </c>
      <c r="K2285" s="9">
        <v>0</v>
      </c>
    </row>
    <row r="2286" spans="1:11">
      <c r="A2286" s="9">
        <v>20220225</v>
      </c>
      <c r="B2286" s="9">
        <v>20220225</v>
      </c>
      <c r="C2286" s="9" t="s">
        <v>86</v>
      </c>
      <c r="D2286" s="9" t="s">
        <v>83</v>
      </c>
      <c r="E2286" s="9" t="s">
        <v>186</v>
      </c>
      <c r="F2286" s="9">
        <v>0</v>
      </c>
      <c r="G2286" s="9">
        <v>0</v>
      </c>
      <c r="H2286" s="9">
        <v>0</v>
      </c>
      <c r="I2286" s="9">
        <v>0.05</v>
      </c>
      <c r="J2286" s="9">
        <v>5</v>
      </c>
      <c r="K2286" s="9">
        <v>0</v>
      </c>
    </row>
    <row r="2287" spans="1:11">
      <c r="A2287" s="9">
        <v>20220225</v>
      </c>
      <c r="B2287" s="9">
        <v>20220225</v>
      </c>
      <c r="C2287" s="9" t="s">
        <v>92</v>
      </c>
      <c r="D2287" s="9" t="s">
        <v>185</v>
      </c>
      <c r="E2287" s="9" t="s">
        <v>185</v>
      </c>
      <c r="F2287" s="9">
        <v>0</v>
      </c>
      <c r="G2287" s="9">
        <v>0</v>
      </c>
      <c r="H2287" s="9">
        <v>0.05</v>
      </c>
      <c r="I2287" s="9">
        <v>-0.05</v>
      </c>
      <c r="J2287" s="9">
        <v>4.95</v>
      </c>
      <c r="K2287" s="9">
        <v>0</v>
      </c>
    </row>
    <row r="2288" spans="1:11">
      <c r="A2288" s="9">
        <v>20220228</v>
      </c>
      <c r="B2288" s="9">
        <v>20220228</v>
      </c>
      <c r="C2288" s="9" t="s">
        <v>86</v>
      </c>
      <c r="D2288" s="9" t="s">
        <v>83</v>
      </c>
      <c r="E2288" s="9" t="s">
        <v>186</v>
      </c>
      <c r="F2288" s="9">
        <v>0</v>
      </c>
      <c r="G2288" s="9">
        <v>0</v>
      </c>
      <c r="H2288" s="9">
        <v>0</v>
      </c>
      <c r="I2288" s="9">
        <v>0.05</v>
      </c>
      <c r="J2288" s="9">
        <v>5</v>
      </c>
      <c r="K2288" s="9">
        <v>0</v>
      </c>
    </row>
    <row r="2289" spans="1:11">
      <c r="A2289" s="9">
        <v>20220228</v>
      </c>
      <c r="B2289" s="9">
        <v>20220228</v>
      </c>
      <c r="C2289" s="9" t="s">
        <v>92</v>
      </c>
      <c r="D2289" s="9" t="s">
        <v>185</v>
      </c>
      <c r="E2289" s="9" t="s">
        <v>185</v>
      </c>
      <c r="F2289" s="9">
        <v>0</v>
      </c>
      <c r="G2289" s="9">
        <v>0</v>
      </c>
      <c r="H2289" s="9">
        <v>0.15</v>
      </c>
      <c r="I2289" s="9">
        <v>-0.15</v>
      </c>
      <c r="J2289" s="9">
        <v>4.85</v>
      </c>
      <c r="K2289" s="9">
        <v>0</v>
      </c>
    </row>
    <row r="2290" spans="1:11">
      <c r="A2290" s="9">
        <v>20220301</v>
      </c>
      <c r="B2290" s="9">
        <v>20220301</v>
      </c>
      <c r="C2290" s="9" t="s">
        <v>86</v>
      </c>
      <c r="D2290" s="9" t="s">
        <v>83</v>
      </c>
      <c r="E2290" s="9" t="s">
        <v>186</v>
      </c>
      <c r="F2290" s="9">
        <v>0</v>
      </c>
      <c r="G2290" s="9">
        <v>0</v>
      </c>
      <c r="H2290" s="9">
        <v>0</v>
      </c>
      <c r="I2290" s="9">
        <v>0.15</v>
      </c>
      <c r="J2290" s="9">
        <v>5</v>
      </c>
      <c r="K2290" s="9">
        <v>0</v>
      </c>
    </row>
    <row r="2291" spans="1:11">
      <c r="A2291" s="9">
        <v>20220301</v>
      </c>
      <c r="B2291" s="9">
        <v>20220301</v>
      </c>
      <c r="C2291" s="9" t="s">
        <v>92</v>
      </c>
      <c r="D2291" s="9" t="s">
        <v>185</v>
      </c>
      <c r="E2291" s="9" t="s">
        <v>185</v>
      </c>
      <c r="F2291" s="9">
        <v>0</v>
      </c>
      <c r="G2291" s="9">
        <v>0</v>
      </c>
      <c r="H2291" s="9">
        <v>0.05</v>
      </c>
      <c r="I2291" s="9">
        <v>-0.05</v>
      </c>
      <c r="J2291" s="9">
        <v>4.95</v>
      </c>
      <c r="K2291" s="9">
        <v>0</v>
      </c>
    </row>
    <row r="2292" spans="1:11">
      <c r="A2292" s="9">
        <v>20220302</v>
      </c>
      <c r="B2292" s="9">
        <v>20220302</v>
      </c>
      <c r="C2292" s="9" t="s">
        <v>92</v>
      </c>
      <c r="D2292" s="9" t="s">
        <v>185</v>
      </c>
      <c r="E2292" s="9" t="s">
        <v>185</v>
      </c>
      <c r="F2292" s="9">
        <v>0</v>
      </c>
      <c r="G2292" s="9">
        <v>0</v>
      </c>
      <c r="H2292" s="9">
        <v>0.05</v>
      </c>
      <c r="I2292" s="9">
        <v>-0.05</v>
      </c>
      <c r="J2292" s="9">
        <v>4.95</v>
      </c>
      <c r="K2292" s="9">
        <v>0</v>
      </c>
    </row>
    <row r="2293" spans="1:11">
      <c r="A2293" s="9">
        <v>20220302</v>
      </c>
      <c r="B2293" s="9">
        <v>20220302</v>
      </c>
      <c r="C2293" s="9" t="s">
        <v>86</v>
      </c>
      <c r="D2293" s="9" t="s">
        <v>83</v>
      </c>
      <c r="E2293" s="9" t="s">
        <v>186</v>
      </c>
      <c r="F2293" s="9">
        <v>0</v>
      </c>
      <c r="G2293" s="9">
        <v>0</v>
      </c>
      <c r="H2293" s="9">
        <v>0</v>
      </c>
      <c r="I2293" s="9">
        <v>0.05</v>
      </c>
      <c r="J2293" s="9">
        <v>5</v>
      </c>
      <c r="K2293" s="9">
        <v>0</v>
      </c>
    </row>
    <row r="2294" spans="1:11">
      <c r="A2294" s="9">
        <v>20220303</v>
      </c>
      <c r="B2294" s="9">
        <v>20220303</v>
      </c>
      <c r="C2294" s="9" t="s">
        <v>86</v>
      </c>
      <c r="D2294" s="9" t="s">
        <v>83</v>
      </c>
      <c r="E2294" s="9" t="s">
        <v>186</v>
      </c>
      <c r="F2294" s="9">
        <v>0</v>
      </c>
      <c r="G2294" s="9">
        <v>0</v>
      </c>
      <c r="H2294" s="9">
        <v>0</v>
      </c>
      <c r="I2294" s="9">
        <v>0.05</v>
      </c>
      <c r="J2294" s="9">
        <v>5</v>
      </c>
      <c r="K2294" s="9">
        <v>0</v>
      </c>
    </row>
    <row r="2295" spans="1:11">
      <c r="A2295" s="9">
        <v>20220303</v>
      </c>
      <c r="B2295" s="9">
        <v>20220303</v>
      </c>
      <c r="C2295" s="9" t="s">
        <v>92</v>
      </c>
      <c r="D2295" s="9" t="s">
        <v>185</v>
      </c>
      <c r="E2295" s="9" t="s">
        <v>185</v>
      </c>
      <c r="F2295" s="9">
        <v>0</v>
      </c>
      <c r="G2295" s="9">
        <v>0</v>
      </c>
      <c r="H2295" s="9">
        <v>0.05</v>
      </c>
      <c r="I2295" s="9">
        <v>-0.05</v>
      </c>
      <c r="J2295" s="9">
        <v>4.95</v>
      </c>
      <c r="K2295" s="9">
        <v>0</v>
      </c>
    </row>
    <row r="2296" spans="1:11">
      <c r="A2296" s="9">
        <v>20220304</v>
      </c>
      <c r="B2296" s="9">
        <v>20220304</v>
      </c>
      <c r="C2296" s="9" t="s">
        <v>86</v>
      </c>
      <c r="D2296" s="9" t="s">
        <v>83</v>
      </c>
      <c r="E2296" s="9" t="s">
        <v>186</v>
      </c>
      <c r="F2296" s="9">
        <v>0</v>
      </c>
      <c r="G2296" s="9">
        <v>0</v>
      </c>
      <c r="H2296" s="9">
        <v>0</v>
      </c>
      <c r="I2296" s="9">
        <v>0.05</v>
      </c>
      <c r="J2296" s="9">
        <v>5</v>
      </c>
      <c r="K2296" s="9">
        <v>0</v>
      </c>
    </row>
    <row r="2297" spans="1:11">
      <c r="A2297" s="9">
        <v>20220304</v>
      </c>
      <c r="B2297" s="9">
        <v>20220304</v>
      </c>
      <c r="C2297" s="9" t="s">
        <v>92</v>
      </c>
      <c r="D2297" s="9" t="s">
        <v>185</v>
      </c>
      <c r="E2297" s="9" t="s">
        <v>185</v>
      </c>
      <c r="F2297" s="9">
        <v>0</v>
      </c>
      <c r="G2297" s="9">
        <v>0</v>
      </c>
      <c r="H2297" s="9">
        <v>0.05</v>
      </c>
      <c r="I2297" s="9">
        <v>-0.05</v>
      </c>
      <c r="J2297" s="9">
        <v>4.95</v>
      </c>
      <c r="K2297" s="9">
        <v>0</v>
      </c>
    </row>
    <row r="2298" spans="1:11">
      <c r="A2298" s="9">
        <v>20220307</v>
      </c>
      <c r="B2298" s="9">
        <v>20220307</v>
      </c>
      <c r="C2298" s="9" t="s">
        <v>92</v>
      </c>
      <c r="D2298" s="9" t="s">
        <v>185</v>
      </c>
      <c r="E2298" s="9" t="s">
        <v>185</v>
      </c>
      <c r="F2298" s="9">
        <v>0</v>
      </c>
      <c r="G2298" s="9">
        <v>0</v>
      </c>
      <c r="H2298" s="9">
        <v>0.15</v>
      </c>
      <c r="I2298" s="9">
        <v>-0.15</v>
      </c>
      <c r="J2298" s="9">
        <v>4.85</v>
      </c>
      <c r="K2298" s="9">
        <v>0</v>
      </c>
    </row>
    <row r="2299" spans="1:11">
      <c r="A2299" s="9">
        <v>20220307</v>
      </c>
      <c r="B2299" s="9">
        <v>20220307</v>
      </c>
      <c r="C2299" s="9" t="s">
        <v>86</v>
      </c>
      <c r="D2299" s="9" t="s">
        <v>83</v>
      </c>
      <c r="E2299" s="9" t="s">
        <v>186</v>
      </c>
      <c r="F2299" s="9">
        <v>0</v>
      </c>
      <c r="G2299" s="9">
        <v>0</v>
      </c>
      <c r="H2299" s="9">
        <v>0</v>
      </c>
      <c r="I2299" s="9">
        <v>0.05</v>
      </c>
      <c r="J2299" s="9">
        <v>5</v>
      </c>
      <c r="K2299" s="9">
        <v>0</v>
      </c>
    </row>
    <row r="2300" spans="1:11">
      <c r="A2300" s="9">
        <v>20220308</v>
      </c>
      <c r="B2300" s="9">
        <v>20220308</v>
      </c>
      <c r="C2300" s="9" t="s">
        <v>86</v>
      </c>
      <c r="D2300" s="9" t="s">
        <v>83</v>
      </c>
      <c r="E2300" s="9" t="s">
        <v>186</v>
      </c>
      <c r="F2300" s="9">
        <v>0</v>
      </c>
      <c r="G2300" s="9">
        <v>0</v>
      </c>
      <c r="H2300" s="9">
        <v>0</v>
      </c>
      <c r="I2300" s="9">
        <v>0.15</v>
      </c>
      <c r="J2300" s="9">
        <v>5</v>
      </c>
      <c r="K2300" s="9">
        <v>0</v>
      </c>
    </row>
    <row r="2301" spans="1:11">
      <c r="A2301" s="9">
        <v>20220308</v>
      </c>
      <c r="B2301" s="9">
        <v>20220308</v>
      </c>
      <c r="C2301" s="9" t="s">
        <v>92</v>
      </c>
      <c r="D2301" s="9" t="s">
        <v>185</v>
      </c>
      <c r="E2301" s="9" t="s">
        <v>185</v>
      </c>
      <c r="F2301" s="9">
        <v>0</v>
      </c>
      <c r="G2301" s="9">
        <v>0</v>
      </c>
      <c r="H2301" s="9">
        <v>0.05</v>
      </c>
      <c r="I2301" s="9">
        <v>-0.05</v>
      </c>
      <c r="J2301" s="9">
        <v>4.95</v>
      </c>
      <c r="K2301" s="9">
        <v>0</v>
      </c>
    </row>
    <row r="2302" spans="1:11">
      <c r="A2302" s="9">
        <v>20220309</v>
      </c>
      <c r="B2302" s="9">
        <v>20220309</v>
      </c>
      <c r="C2302" s="9" t="s">
        <v>92</v>
      </c>
      <c r="D2302" s="9" t="s">
        <v>185</v>
      </c>
      <c r="E2302" s="9" t="s">
        <v>185</v>
      </c>
      <c r="F2302" s="9">
        <v>0</v>
      </c>
      <c r="G2302" s="9">
        <v>0</v>
      </c>
      <c r="H2302" s="9">
        <v>0.05</v>
      </c>
      <c r="I2302" s="9">
        <v>-0.05</v>
      </c>
      <c r="J2302" s="9">
        <v>4.95</v>
      </c>
      <c r="K2302" s="9">
        <v>0</v>
      </c>
    </row>
    <row r="2303" spans="1:11">
      <c r="A2303" s="9">
        <v>20220309</v>
      </c>
      <c r="B2303" s="9">
        <v>20220309</v>
      </c>
      <c r="C2303" s="9" t="s">
        <v>86</v>
      </c>
      <c r="D2303" s="9" t="s">
        <v>83</v>
      </c>
      <c r="E2303" s="9" t="s">
        <v>186</v>
      </c>
      <c r="F2303" s="9">
        <v>0</v>
      </c>
      <c r="G2303" s="9">
        <v>0</v>
      </c>
      <c r="H2303" s="9">
        <v>0</v>
      </c>
      <c r="I2303" s="9">
        <v>0.05</v>
      </c>
      <c r="J2303" s="9">
        <v>5</v>
      </c>
      <c r="K2303" s="9">
        <v>0</v>
      </c>
    </row>
    <row r="2304" spans="1:11">
      <c r="A2304" s="9">
        <v>20220310</v>
      </c>
      <c r="B2304" s="9">
        <v>20220310</v>
      </c>
      <c r="C2304" s="9" t="s">
        <v>86</v>
      </c>
      <c r="D2304" s="9" t="s">
        <v>83</v>
      </c>
      <c r="E2304" s="9" t="s">
        <v>186</v>
      </c>
      <c r="F2304" s="9">
        <v>0</v>
      </c>
      <c r="G2304" s="9">
        <v>0</v>
      </c>
      <c r="H2304" s="9">
        <v>0</v>
      </c>
      <c r="I2304" s="9">
        <v>0.05</v>
      </c>
      <c r="J2304" s="9">
        <v>5</v>
      </c>
      <c r="K2304" s="9">
        <v>0</v>
      </c>
    </row>
    <row r="2305" spans="1:11">
      <c r="A2305" s="9">
        <v>20220310</v>
      </c>
      <c r="B2305" s="9">
        <v>20220310</v>
      </c>
      <c r="C2305" s="9" t="s">
        <v>92</v>
      </c>
      <c r="D2305" s="9" t="s">
        <v>185</v>
      </c>
      <c r="E2305" s="9" t="s">
        <v>185</v>
      </c>
      <c r="F2305" s="9">
        <v>0</v>
      </c>
      <c r="G2305" s="9">
        <v>0</v>
      </c>
      <c r="H2305" s="9">
        <v>0.04</v>
      </c>
      <c r="I2305" s="9">
        <v>-0.04</v>
      </c>
      <c r="J2305" s="9">
        <v>4.96</v>
      </c>
      <c r="K2305" s="9">
        <v>0</v>
      </c>
    </row>
    <row r="2306" spans="1:11">
      <c r="A2306" s="9">
        <v>20220311</v>
      </c>
      <c r="B2306" s="9">
        <v>20220311</v>
      </c>
      <c r="C2306" s="9" t="s">
        <v>92</v>
      </c>
      <c r="D2306" s="9" t="s">
        <v>185</v>
      </c>
      <c r="E2306" s="9" t="s">
        <v>185</v>
      </c>
      <c r="F2306" s="9">
        <v>0</v>
      </c>
      <c r="G2306" s="9">
        <v>0</v>
      </c>
      <c r="H2306" s="9">
        <v>0.05</v>
      </c>
      <c r="I2306" s="9">
        <v>-0.05</v>
      </c>
      <c r="J2306" s="9">
        <v>4.95</v>
      </c>
      <c r="K2306" s="9">
        <v>0</v>
      </c>
    </row>
    <row r="2307" spans="1:11">
      <c r="A2307" s="9">
        <v>20220311</v>
      </c>
      <c r="B2307" s="9">
        <v>20220311</v>
      </c>
      <c r="C2307" s="9" t="s">
        <v>86</v>
      </c>
      <c r="D2307" s="9" t="s">
        <v>83</v>
      </c>
      <c r="E2307" s="9" t="s">
        <v>186</v>
      </c>
      <c r="F2307" s="9">
        <v>0</v>
      </c>
      <c r="G2307" s="9">
        <v>0</v>
      </c>
      <c r="H2307" s="9">
        <v>0</v>
      </c>
      <c r="I2307" s="9">
        <v>0.04</v>
      </c>
      <c r="J2307" s="9">
        <v>5</v>
      </c>
      <c r="K2307" s="9">
        <v>0</v>
      </c>
    </row>
    <row r="2308" spans="1:11">
      <c r="A2308" s="9">
        <v>20220314</v>
      </c>
      <c r="B2308" s="9">
        <v>20220314</v>
      </c>
      <c r="C2308" s="9" t="s">
        <v>92</v>
      </c>
      <c r="D2308" s="9" t="s">
        <v>185</v>
      </c>
      <c r="E2308" s="9" t="s">
        <v>185</v>
      </c>
      <c r="F2308" s="9">
        <v>0</v>
      </c>
      <c r="G2308" s="9">
        <v>0</v>
      </c>
      <c r="H2308" s="9">
        <v>0.12</v>
      </c>
      <c r="I2308" s="9">
        <v>-0.12</v>
      </c>
      <c r="J2308" s="9">
        <v>4.88</v>
      </c>
      <c r="K2308" s="9">
        <v>0</v>
      </c>
    </row>
    <row r="2309" spans="1:11">
      <c r="A2309" s="9">
        <v>20220314</v>
      </c>
      <c r="B2309" s="9">
        <v>20220314</v>
      </c>
      <c r="C2309" s="9" t="s">
        <v>86</v>
      </c>
      <c r="D2309" s="9" t="s">
        <v>83</v>
      </c>
      <c r="E2309" s="9" t="s">
        <v>186</v>
      </c>
      <c r="F2309" s="9">
        <v>0</v>
      </c>
      <c r="G2309" s="9">
        <v>0</v>
      </c>
      <c r="H2309" s="9">
        <v>0</v>
      </c>
      <c r="I2309" s="9">
        <v>0.05</v>
      </c>
      <c r="J2309" s="9">
        <v>5</v>
      </c>
      <c r="K2309" s="9">
        <v>0</v>
      </c>
    </row>
    <row r="2310" spans="1:11">
      <c r="A2310" s="9">
        <v>20220315</v>
      </c>
      <c r="B2310" s="9">
        <v>20220315</v>
      </c>
      <c r="C2310" s="9" t="s">
        <v>86</v>
      </c>
      <c r="D2310" s="9" t="s">
        <v>83</v>
      </c>
      <c r="E2310" s="9" t="s">
        <v>186</v>
      </c>
      <c r="F2310" s="9">
        <v>0</v>
      </c>
      <c r="G2310" s="9">
        <v>0</v>
      </c>
      <c r="H2310" s="9">
        <v>0</v>
      </c>
      <c r="I2310" s="9">
        <v>0.12</v>
      </c>
      <c r="J2310" s="9">
        <v>5</v>
      </c>
      <c r="K2310" s="9">
        <v>0</v>
      </c>
    </row>
    <row r="2311" spans="1:11">
      <c r="A2311" s="9">
        <v>20220315</v>
      </c>
      <c r="B2311" s="9">
        <v>20220315</v>
      </c>
      <c r="C2311" s="9" t="s">
        <v>92</v>
      </c>
      <c r="D2311" s="9" t="s">
        <v>185</v>
      </c>
      <c r="E2311" s="9" t="s">
        <v>185</v>
      </c>
      <c r="F2311" s="9">
        <v>0</v>
      </c>
      <c r="G2311" s="9">
        <v>0</v>
      </c>
      <c r="H2311" s="9">
        <v>0.04</v>
      </c>
      <c r="I2311" s="9">
        <v>-0.04</v>
      </c>
      <c r="J2311" s="9">
        <v>4.96</v>
      </c>
      <c r="K2311" s="9">
        <v>0</v>
      </c>
    </row>
    <row r="2312" spans="1:11">
      <c r="A2312" s="9">
        <v>20220316</v>
      </c>
      <c r="B2312" s="9">
        <v>20220316</v>
      </c>
      <c r="C2312" s="9" t="s">
        <v>92</v>
      </c>
      <c r="D2312" s="9" t="s">
        <v>185</v>
      </c>
      <c r="E2312" s="9" t="s">
        <v>185</v>
      </c>
      <c r="F2312" s="9">
        <v>0</v>
      </c>
      <c r="G2312" s="9">
        <v>0</v>
      </c>
      <c r="H2312" s="9">
        <v>0.04</v>
      </c>
      <c r="I2312" s="9">
        <v>-0.04</v>
      </c>
      <c r="J2312" s="9">
        <v>4.96</v>
      </c>
      <c r="K2312" s="9">
        <v>0</v>
      </c>
    </row>
    <row r="2313" spans="1:11">
      <c r="A2313" s="9">
        <v>20220316</v>
      </c>
      <c r="B2313" s="9">
        <v>20220316</v>
      </c>
      <c r="C2313" s="9" t="s">
        <v>86</v>
      </c>
      <c r="D2313" s="9" t="s">
        <v>83</v>
      </c>
      <c r="E2313" s="9" t="s">
        <v>186</v>
      </c>
      <c r="F2313" s="9">
        <v>0</v>
      </c>
      <c r="G2313" s="9">
        <v>0</v>
      </c>
      <c r="H2313" s="9">
        <v>0</v>
      </c>
      <c r="I2313" s="9">
        <v>0.04</v>
      </c>
      <c r="J2313" s="9">
        <v>5</v>
      </c>
      <c r="K2313" s="9">
        <v>0</v>
      </c>
    </row>
    <row r="2314" spans="1:11">
      <c r="A2314" s="9">
        <v>20220317</v>
      </c>
      <c r="B2314" s="9">
        <v>20220317</v>
      </c>
      <c r="C2314" s="9" t="s">
        <v>92</v>
      </c>
      <c r="D2314" s="9" t="s">
        <v>185</v>
      </c>
      <c r="E2314" s="9" t="s">
        <v>185</v>
      </c>
      <c r="F2314" s="9">
        <v>0</v>
      </c>
      <c r="G2314" s="9">
        <v>0</v>
      </c>
      <c r="H2314" s="9">
        <v>0.04</v>
      </c>
      <c r="I2314" s="9">
        <v>-0.04</v>
      </c>
      <c r="J2314" s="9">
        <v>4.96</v>
      </c>
      <c r="K2314" s="9">
        <v>0</v>
      </c>
    </row>
    <row r="2315" spans="1:11">
      <c r="A2315" s="9">
        <v>20220317</v>
      </c>
      <c r="B2315" s="9">
        <v>20220317</v>
      </c>
      <c r="C2315" s="9" t="s">
        <v>86</v>
      </c>
      <c r="D2315" s="9" t="s">
        <v>83</v>
      </c>
      <c r="E2315" s="9" t="s">
        <v>186</v>
      </c>
      <c r="F2315" s="9">
        <v>0</v>
      </c>
      <c r="G2315" s="9">
        <v>0</v>
      </c>
      <c r="H2315" s="9">
        <v>0</v>
      </c>
      <c r="I2315" s="9">
        <v>0.04</v>
      </c>
      <c r="J2315" s="9">
        <v>5</v>
      </c>
      <c r="K2315" s="9">
        <v>0</v>
      </c>
    </row>
    <row r="2316" spans="1:11">
      <c r="A2316" s="9">
        <v>20220318</v>
      </c>
      <c r="B2316" s="9">
        <v>20220318</v>
      </c>
      <c r="C2316" s="9" t="s">
        <v>86</v>
      </c>
      <c r="D2316" s="9" t="s">
        <v>83</v>
      </c>
      <c r="E2316" s="9" t="s">
        <v>186</v>
      </c>
      <c r="F2316" s="9">
        <v>0</v>
      </c>
      <c r="G2316" s="9">
        <v>0</v>
      </c>
      <c r="H2316" s="9">
        <v>0</v>
      </c>
      <c r="I2316" s="9">
        <v>0.04</v>
      </c>
      <c r="J2316" s="9">
        <v>5.73</v>
      </c>
      <c r="K2316" s="9">
        <v>0</v>
      </c>
    </row>
    <row r="2317" spans="1:11">
      <c r="A2317" s="9">
        <v>20220318</v>
      </c>
      <c r="B2317" s="9">
        <v>20220318</v>
      </c>
      <c r="C2317" s="9" t="s">
        <v>92</v>
      </c>
      <c r="D2317" s="9" t="s">
        <v>185</v>
      </c>
      <c r="E2317" s="9" t="s">
        <v>185</v>
      </c>
      <c r="F2317" s="9">
        <v>0</v>
      </c>
      <c r="G2317" s="9">
        <v>0</v>
      </c>
      <c r="H2317" s="9">
        <v>0.05</v>
      </c>
      <c r="I2317" s="9">
        <v>-0.05</v>
      </c>
      <c r="J2317" s="9">
        <v>5.68</v>
      </c>
      <c r="K2317" s="9">
        <v>0</v>
      </c>
    </row>
    <row r="2318" spans="1:11">
      <c r="A2318" s="9">
        <v>20220318</v>
      </c>
      <c r="B2318" s="9">
        <v>20220318</v>
      </c>
      <c r="C2318" s="9" t="s">
        <v>89</v>
      </c>
      <c r="D2318" s="9" t="s">
        <v>185</v>
      </c>
      <c r="E2318" s="9" t="s">
        <v>185</v>
      </c>
      <c r="F2318" s="9">
        <v>0</v>
      </c>
      <c r="G2318" s="9">
        <v>0</v>
      </c>
      <c r="H2318" s="9">
        <v>0</v>
      </c>
      <c r="I2318" s="9">
        <v>0.73</v>
      </c>
      <c r="J2318" s="9">
        <v>5.69</v>
      </c>
      <c r="K2318" s="9">
        <v>0</v>
      </c>
    </row>
    <row r="2319" spans="1:11">
      <c r="A2319" s="9">
        <v>20220321</v>
      </c>
      <c r="B2319" s="9">
        <v>20220321</v>
      </c>
      <c r="C2319" s="9" t="s">
        <v>92</v>
      </c>
      <c r="D2319" s="9" t="s">
        <v>185</v>
      </c>
      <c r="E2319" s="9" t="s">
        <v>185</v>
      </c>
      <c r="F2319" s="9">
        <v>0</v>
      </c>
      <c r="G2319" s="9">
        <v>0</v>
      </c>
      <c r="H2319" s="9">
        <v>0.15</v>
      </c>
      <c r="I2319" s="9">
        <v>-0.15</v>
      </c>
      <c r="J2319" s="9">
        <v>5.53</v>
      </c>
      <c r="K2319" s="9">
        <v>0</v>
      </c>
    </row>
    <row r="2320" spans="1:11">
      <c r="A2320" s="9">
        <v>20220322</v>
      </c>
      <c r="B2320" s="9">
        <v>20220322</v>
      </c>
      <c r="C2320" s="9" t="s">
        <v>92</v>
      </c>
      <c r="D2320" s="9" t="s">
        <v>185</v>
      </c>
      <c r="E2320" s="9" t="s">
        <v>185</v>
      </c>
      <c r="F2320" s="9">
        <v>0</v>
      </c>
      <c r="G2320" s="9">
        <v>0</v>
      </c>
      <c r="H2320" s="9">
        <v>0.05</v>
      </c>
      <c r="I2320" s="9">
        <v>-0.05</v>
      </c>
      <c r="J2320" s="9">
        <v>19.82</v>
      </c>
      <c r="K2320" s="9">
        <v>0</v>
      </c>
    </row>
    <row r="2321" spans="1:11">
      <c r="A2321" s="9">
        <v>20220322</v>
      </c>
      <c r="B2321" s="9">
        <v>0</v>
      </c>
      <c r="C2321" s="9" t="s">
        <v>84</v>
      </c>
      <c r="D2321" s="9" t="s">
        <v>83</v>
      </c>
      <c r="E2321" s="9" t="s">
        <v>186</v>
      </c>
      <c r="F2321" s="9">
        <v>0</v>
      </c>
      <c r="G2321" s="9">
        <v>0</v>
      </c>
      <c r="H2321" s="9">
        <v>14.34</v>
      </c>
      <c r="I2321" s="9">
        <v>14.34</v>
      </c>
      <c r="J2321" s="9">
        <v>19.87</v>
      </c>
      <c r="K2321" s="9">
        <v>0</v>
      </c>
    </row>
    <row r="2322" spans="1:11">
      <c r="A2322" s="9">
        <v>20220323</v>
      </c>
      <c r="B2322" s="9">
        <v>20220323</v>
      </c>
      <c r="C2322" s="9" t="s">
        <v>92</v>
      </c>
      <c r="D2322" s="9" t="s">
        <v>185</v>
      </c>
      <c r="E2322" s="9" t="s">
        <v>185</v>
      </c>
      <c r="F2322" s="9">
        <v>0</v>
      </c>
      <c r="G2322" s="9">
        <v>0</v>
      </c>
      <c r="H2322" s="9">
        <v>0.05</v>
      </c>
      <c r="I2322" s="9">
        <v>-0.05</v>
      </c>
      <c r="J2322" s="9">
        <v>19.77</v>
      </c>
      <c r="K2322" s="9">
        <v>0</v>
      </c>
    </row>
    <row r="2323" spans="1:11">
      <c r="A2323" s="9">
        <v>20220324</v>
      </c>
      <c r="B2323" s="9">
        <v>20220324</v>
      </c>
      <c r="C2323" s="9" t="s">
        <v>92</v>
      </c>
      <c r="D2323" s="9" t="s">
        <v>185</v>
      </c>
      <c r="E2323" s="9" t="s">
        <v>185</v>
      </c>
      <c r="F2323" s="9">
        <v>0</v>
      </c>
      <c r="G2323" s="9">
        <v>0</v>
      </c>
      <c r="H2323" s="9">
        <v>0.05</v>
      </c>
      <c r="I2323" s="9">
        <v>-0.05</v>
      </c>
      <c r="J2323" s="9">
        <v>19.72</v>
      </c>
      <c r="K2323" s="9">
        <v>0</v>
      </c>
    </row>
    <row r="2324" spans="1:11">
      <c r="A2324" s="9">
        <v>20220325</v>
      </c>
      <c r="B2324" s="9">
        <v>20220325</v>
      </c>
      <c r="C2324" s="9" t="s">
        <v>92</v>
      </c>
      <c r="D2324" s="9" t="s">
        <v>185</v>
      </c>
      <c r="E2324" s="9" t="s">
        <v>185</v>
      </c>
      <c r="F2324" s="9">
        <v>0</v>
      </c>
      <c r="G2324" s="9">
        <v>0</v>
      </c>
      <c r="H2324" s="9">
        <v>0.05</v>
      </c>
      <c r="I2324" s="9">
        <v>-0.05</v>
      </c>
      <c r="J2324" s="9">
        <v>19.67</v>
      </c>
      <c r="K2324" s="9">
        <v>0</v>
      </c>
    </row>
    <row r="2325" spans="1:11">
      <c r="A2325" s="9">
        <v>20220328</v>
      </c>
      <c r="B2325" s="9">
        <v>20220328</v>
      </c>
      <c r="C2325" s="9" t="s">
        <v>92</v>
      </c>
      <c r="D2325" s="9" t="s">
        <v>185</v>
      </c>
      <c r="E2325" s="9" t="s">
        <v>185</v>
      </c>
      <c r="F2325" s="9">
        <v>0</v>
      </c>
      <c r="G2325" s="9">
        <v>0</v>
      </c>
      <c r="H2325" s="9">
        <v>0.15</v>
      </c>
      <c r="I2325" s="9">
        <v>-0.15</v>
      </c>
      <c r="J2325" s="9">
        <v>19.52</v>
      </c>
      <c r="K2325" s="9">
        <v>0</v>
      </c>
    </row>
    <row r="2326" spans="1:11">
      <c r="A2326" s="9">
        <v>20220329</v>
      </c>
      <c r="B2326" s="9">
        <v>20220329</v>
      </c>
      <c r="C2326" s="9" t="s">
        <v>92</v>
      </c>
      <c r="D2326" s="9" t="s">
        <v>185</v>
      </c>
      <c r="E2326" s="9" t="s">
        <v>185</v>
      </c>
      <c r="F2326" s="9">
        <v>0</v>
      </c>
      <c r="G2326" s="9">
        <v>0</v>
      </c>
      <c r="H2326" s="9">
        <v>0.05</v>
      </c>
      <c r="I2326" s="9">
        <v>-0.05</v>
      </c>
      <c r="J2326" s="9">
        <v>19.47</v>
      </c>
      <c r="K2326" s="9">
        <v>0</v>
      </c>
    </row>
    <row r="2327" spans="1:11">
      <c r="A2327" s="9">
        <v>20220330</v>
      </c>
      <c r="B2327" s="9">
        <v>20220330</v>
      </c>
      <c r="C2327" s="9" t="s">
        <v>92</v>
      </c>
      <c r="D2327" s="9" t="s">
        <v>185</v>
      </c>
      <c r="E2327" s="9" t="s">
        <v>185</v>
      </c>
      <c r="F2327" s="9">
        <v>0</v>
      </c>
      <c r="G2327" s="9">
        <v>0</v>
      </c>
      <c r="H2327" s="9">
        <v>0.05</v>
      </c>
      <c r="I2327" s="9">
        <v>-0.05</v>
      </c>
      <c r="J2327" s="9">
        <v>19.42</v>
      </c>
      <c r="K2327" s="9">
        <v>0</v>
      </c>
    </row>
    <row r="2328" spans="1:11">
      <c r="A2328" s="9">
        <v>20220331</v>
      </c>
      <c r="B2328" s="9">
        <v>20220331</v>
      </c>
      <c r="C2328" s="9" t="s">
        <v>92</v>
      </c>
      <c r="D2328" s="9" t="s">
        <v>185</v>
      </c>
      <c r="E2328" s="9" t="s">
        <v>185</v>
      </c>
      <c r="F2328" s="9">
        <v>0</v>
      </c>
      <c r="G2328" s="9">
        <v>0</v>
      </c>
      <c r="H2328" s="9">
        <v>0.05</v>
      </c>
      <c r="I2328" s="9">
        <v>-0.05</v>
      </c>
      <c r="J2328" s="9">
        <v>19.37</v>
      </c>
      <c r="K2328" s="9">
        <v>0</v>
      </c>
    </row>
    <row r="2329" spans="1:11">
      <c r="A2329" s="9">
        <v>20220401</v>
      </c>
      <c r="B2329" s="9">
        <v>20220401</v>
      </c>
      <c r="C2329" s="9" t="s">
        <v>92</v>
      </c>
      <c r="D2329" s="9" t="s">
        <v>185</v>
      </c>
      <c r="E2329" s="9" t="s">
        <v>185</v>
      </c>
      <c r="F2329" s="9">
        <v>0</v>
      </c>
      <c r="G2329" s="9">
        <v>0</v>
      </c>
      <c r="H2329" s="9">
        <v>0.05</v>
      </c>
      <c r="I2329" s="9">
        <v>-0.05</v>
      </c>
      <c r="J2329" s="9">
        <v>19.32</v>
      </c>
      <c r="K2329" s="9">
        <v>0</v>
      </c>
    </row>
    <row r="2330" spans="1:11">
      <c r="A2330" s="9">
        <v>20220406</v>
      </c>
      <c r="B2330" s="9">
        <v>20220406</v>
      </c>
      <c r="C2330" s="9" t="s">
        <v>92</v>
      </c>
      <c r="D2330" s="9" t="s">
        <v>185</v>
      </c>
      <c r="E2330" s="9" t="s">
        <v>185</v>
      </c>
      <c r="F2330" s="9">
        <v>0</v>
      </c>
      <c r="G2330" s="9">
        <v>0</v>
      </c>
      <c r="H2330" s="9">
        <v>0.24</v>
      </c>
      <c r="I2330" s="9">
        <v>-0.24</v>
      </c>
      <c r="J2330" s="9">
        <v>19.08</v>
      </c>
      <c r="K2330" s="9">
        <v>0</v>
      </c>
    </row>
    <row r="2331" spans="1:11">
      <c r="A2331" s="9">
        <v>20220407</v>
      </c>
      <c r="B2331" s="9">
        <v>20220407</v>
      </c>
      <c r="C2331" s="9" t="s">
        <v>92</v>
      </c>
      <c r="D2331" s="9" t="s">
        <v>185</v>
      </c>
      <c r="E2331" s="9" t="s">
        <v>185</v>
      </c>
      <c r="F2331" s="9">
        <v>0</v>
      </c>
      <c r="G2331" s="9">
        <v>0</v>
      </c>
      <c r="H2331" s="9">
        <v>0.05</v>
      </c>
      <c r="I2331" s="9">
        <v>-0.05</v>
      </c>
      <c r="J2331" s="9">
        <v>19.03</v>
      </c>
      <c r="K2331" s="9">
        <v>0</v>
      </c>
    </row>
    <row r="2332" spans="1:11">
      <c r="A2332" s="9">
        <v>20220408</v>
      </c>
      <c r="B2332" s="9">
        <v>20220408</v>
      </c>
      <c r="C2332" s="9" t="s">
        <v>92</v>
      </c>
      <c r="D2332" s="9" t="s">
        <v>185</v>
      </c>
      <c r="E2332" s="9" t="s">
        <v>185</v>
      </c>
      <c r="F2332" s="9">
        <v>0</v>
      </c>
      <c r="G2332" s="9">
        <v>0</v>
      </c>
      <c r="H2332" s="9">
        <v>0.05</v>
      </c>
      <c r="I2332" s="9">
        <v>-0.05</v>
      </c>
      <c r="J2332" s="9">
        <v>18.98</v>
      </c>
      <c r="K2332" s="9">
        <v>0</v>
      </c>
    </row>
    <row r="2333" spans="1:11">
      <c r="A2333" s="9">
        <v>20220411</v>
      </c>
      <c r="B2333" s="9">
        <v>20220411</v>
      </c>
      <c r="C2333" s="9" t="s">
        <v>92</v>
      </c>
      <c r="D2333" s="9" t="s">
        <v>185</v>
      </c>
      <c r="E2333" s="9" t="s">
        <v>185</v>
      </c>
      <c r="F2333" s="9">
        <v>0</v>
      </c>
      <c r="G2333" s="9">
        <v>0</v>
      </c>
      <c r="H2333" s="9">
        <v>0.15</v>
      </c>
      <c r="I2333" s="9">
        <v>-0.15</v>
      </c>
      <c r="J2333" s="9">
        <v>18.83</v>
      </c>
      <c r="K2333" s="9">
        <v>0</v>
      </c>
    </row>
    <row r="2334" spans="1:11">
      <c r="A2334" s="9">
        <v>20220412</v>
      </c>
      <c r="B2334" s="9">
        <v>20220412</v>
      </c>
      <c r="C2334" s="9" t="s">
        <v>92</v>
      </c>
      <c r="D2334" s="9" t="s">
        <v>185</v>
      </c>
      <c r="E2334" s="9" t="s">
        <v>185</v>
      </c>
      <c r="F2334" s="9">
        <v>0</v>
      </c>
      <c r="G2334" s="9">
        <v>0</v>
      </c>
      <c r="H2334" s="9">
        <v>0.05</v>
      </c>
      <c r="I2334" s="9">
        <v>-0.05</v>
      </c>
      <c r="J2334" s="9">
        <v>18.78</v>
      </c>
      <c r="K2334" s="9">
        <v>0</v>
      </c>
    </row>
    <row r="2335" spans="1:11">
      <c r="A2335" s="9">
        <v>20220413</v>
      </c>
      <c r="B2335" s="9">
        <v>20220413</v>
      </c>
      <c r="C2335" s="9" t="s">
        <v>92</v>
      </c>
      <c r="D2335" s="9" t="s">
        <v>185</v>
      </c>
      <c r="E2335" s="9" t="s">
        <v>185</v>
      </c>
      <c r="F2335" s="9">
        <v>0</v>
      </c>
      <c r="G2335" s="9">
        <v>0</v>
      </c>
      <c r="H2335" s="9">
        <v>0.05</v>
      </c>
      <c r="I2335" s="9">
        <v>-0.05</v>
      </c>
      <c r="J2335" s="9">
        <v>18.73</v>
      </c>
      <c r="K2335" s="9">
        <v>0</v>
      </c>
    </row>
    <row r="2336" spans="1:11">
      <c r="A2336" s="9">
        <v>20220414</v>
      </c>
      <c r="B2336" s="9">
        <v>20220414</v>
      </c>
      <c r="C2336" s="9" t="s">
        <v>92</v>
      </c>
      <c r="D2336" s="9" t="s">
        <v>185</v>
      </c>
      <c r="E2336" s="9" t="s">
        <v>185</v>
      </c>
      <c r="F2336" s="9">
        <v>0</v>
      </c>
      <c r="G2336" s="9">
        <v>0</v>
      </c>
      <c r="H2336" s="9">
        <v>0.05</v>
      </c>
      <c r="I2336" s="9">
        <v>-0.05</v>
      </c>
      <c r="J2336" s="9">
        <v>18.68</v>
      </c>
      <c r="K2336" s="9">
        <v>0</v>
      </c>
    </row>
    <row r="2337" spans="1:11">
      <c r="A2337" s="9">
        <v>20220419</v>
      </c>
      <c r="B2337" s="9">
        <v>20220419</v>
      </c>
      <c r="C2337" s="9" t="s">
        <v>92</v>
      </c>
      <c r="D2337" s="9" t="s">
        <v>185</v>
      </c>
      <c r="E2337" s="9" t="s">
        <v>185</v>
      </c>
      <c r="F2337" s="9">
        <v>0</v>
      </c>
      <c r="G2337" s="9">
        <v>0</v>
      </c>
      <c r="H2337" s="9">
        <v>0.25</v>
      </c>
      <c r="I2337" s="9">
        <v>-0.25</v>
      </c>
      <c r="J2337" s="9">
        <v>18.43</v>
      </c>
      <c r="K2337" s="9">
        <v>0</v>
      </c>
    </row>
    <row r="2338" spans="1:11">
      <c r="A2338" s="9">
        <v>20220420</v>
      </c>
      <c r="B2338" s="9">
        <v>20220420</v>
      </c>
      <c r="C2338" s="9" t="s">
        <v>92</v>
      </c>
      <c r="D2338" s="9" t="s">
        <v>185</v>
      </c>
      <c r="E2338" s="9" t="s">
        <v>185</v>
      </c>
      <c r="F2338" s="9">
        <v>0</v>
      </c>
      <c r="G2338" s="9">
        <v>0</v>
      </c>
      <c r="H2338" s="9">
        <v>0.05</v>
      </c>
      <c r="I2338" s="9">
        <v>-0.05</v>
      </c>
      <c r="J2338" s="9">
        <v>18.38</v>
      </c>
      <c r="K2338" s="9">
        <v>0</v>
      </c>
    </row>
    <row r="2339" spans="1:11">
      <c r="A2339" s="9">
        <v>20220421</v>
      </c>
      <c r="B2339" s="9">
        <v>20220421</v>
      </c>
      <c r="C2339" s="9" t="s">
        <v>92</v>
      </c>
      <c r="D2339" s="9" t="s">
        <v>185</v>
      </c>
      <c r="E2339" s="9" t="s">
        <v>185</v>
      </c>
      <c r="F2339" s="9">
        <v>0</v>
      </c>
      <c r="G2339" s="9">
        <v>0</v>
      </c>
      <c r="H2339" s="9">
        <v>0.05</v>
      </c>
      <c r="I2339" s="9">
        <v>-0.05</v>
      </c>
      <c r="J2339" s="9">
        <v>18.33</v>
      </c>
      <c r="K2339" s="9">
        <v>0</v>
      </c>
    </row>
    <row r="2340" spans="1:11">
      <c r="A2340" s="9">
        <v>20220422</v>
      </c>
      <c r="B2340" s="9">
        <v>20220422</v>
      </c>
      <c r="C2340" s="9" t="s">
        <v>92</v>
      </c>
      <c r="D2340" s="9" t="s">
        <v>185</v>
      </c>
      <c r="E2340" s="9" t="s">
        <v>185</v>
      </c>
      <c r="F2340" s="9">
        <v>0</v>
      </c>
      <c r="G2340" s="9">
        <v>0</v>
      </c>
      <c r="H2340" s="9">
        <v>0.05</v>
      </c>
      <c r="I2340" s="9">
        <v>-0.05</v>
      </c>
      <c r="J2340" s="9">
        <v>18.28</v>
      </c>
      <c r="K2340" s="9">
        <v>0</v>
      </c>
    </row>
    <row r="2341" spans="1:11">
      <c r="A2341" s="9">
        <v>20220425</v>
      </c>
      <c r="B2341" s="9">
        <v>20220425</v>
      </c>
      <c r="C2341" s="9" t="s">
        <v>92</v>
      </c>
      <c r="D2341" s="9" t="s">
        <v>185</v>
      </c>
      <c r="E2341" s="9" t="s">
        <v>185</v>
      </c>
      <c r="F2341" s="9">
        <v>0</v>
      </c>
      <c r="G2341" s="9">
        <v>0</v>
      </c>
      <c r="H2341" s="9">
        <v>0.15</v>
      </c>
      <c r="I2341" s="9">
        <v>-0.15</v>
      </c>
      <c r="J2341" s="9">
        <v>18.13</v>
      </c>
      <c r="K2341" s="9">
        <v>0</v>
      </c>
    </row>
    <row r="2342" spans="1:11">
      <c r="A2342" s="9">
        <v>20220426</v>
      </c>
      <c r="B2342" s="9">
        <v>20220426</v>
      </c>
      <c r="C2342" s="9" t="s">
        <v>92</v>
      </c>
      <c r="D2342" s="9" t="s">
        <v>185</v>
      </c>
      <c r="E2342" s="9" t="s">
        <v>185</v>
      </c>
      <c r="F2342" s="9">
        <v>0</v>
      </c>
      <c r="G2342" s="9">
        <v>0</v>
      </c>
      <c r="H2342" s="9">
        <v>0.05</v>
      </c>
      <c r="I2342" s="9">
        <v>-0.05</v>
      </c>
      <c r="J2342" s="9">
        <v>18.08</v>
      </c>
      <c r="K2342" s="9">
        <v>0</v>
      </c>
    </row>
    <row r="2343" spans="1:11">
      <c r="A2343" s="9">
        <v>20220427</v>
      </c>
      <c r="B2343" s="9">
        <v>20220427</v>
      </c>
      <c r="C2343" s="9" t="s">
        <v>92</v>
      </c>
      <c r="D2343" s="9" t="s">
        <v>185</v>
      </c>
      <c r="E2343" s="9" t="s">
        <v>185</v>
      </c>
      <c r="F2343" s="9">
        <v>0</v>
      </c>
      <c r="G2343" s="9">
        <v>0</v>
      </c>
      <c r="H2343" s="9">
        <v>0.05</v>
      </c>
      <c r="I2343" s="9">
        <v>-0.05</v>
      </c>
      <c r="J2343" s="9">
        <v>18.03</v>
      </c>
      <c r="K2343" s="9">
        <v>0</v>
      </c>
    </row>
    <row r="2344" spans="1:11">
      <c r="A2344" s="9">
        <v>20220428</v>
      </c>
      <c r="B2344" s="9">
        <v>20220428</v>
      </c>
      <c r="C2344" s="9" t="s">
        <v>92</v>
      </c>
      <c r="D2344" s="9" t="s">
        <v>185</v>
      </c>
      <c r="E2344" s="9" t="s">
        <v>185</v>
      </c>
      <c r="F2344" s="9">
        <v>0</v>
      </c>
      <c r="G2344" s="9">
        <v>0</v>
      </c>
      <c r="H2344" s="9">
        <v>0.05</v>
      </c>
      <c r="I2344" s="9">
        <v>-0.05</v>
      </c>
      <c r="J2344" s="9">
        <v>17.98</v>
      </c>
      <c r="K2344" s="9">
        <v>0</v>
      </c>
    </row>
    <row r="2345" spans="1:11">
      <c r="A2345" s="9">
        <v>20220429</v>
      </c>
      <c r="B2345" s="9">
        <v>20220429</v>
      </c>
      <c r="C2345" s="9" t="s">
        <v>92</v>
      </c>
      <c r="D2345" s="9" t="s">
        <v>185</v>
      </c>
      <c r="E2345" s="9" t="s">
        <v>185</v>
      </c>
      <c r="F2345" s="9">
        <v>0</v>
      </c>
      <c r="G2345" s="9">
        <v>0</v>
      </c>
      <c r="H2345" s="9">
        <v>0.05</v>
      </c>
      <c r="I2345" s="9">
        <v>-0.05</v>
      </c>
      <c r="J2345" s="9">
        <v>17.93</v>
      </c>
      <c r="K2345" s="9">
        <v>0</v>
      </c>
    </row>
    <row r="2346" spans="1:11">
      <c r="A2346" s="9">
        <v>20220505</v>
      </c>
      <c r="B2346" s="9">
        <v>20220505</v>
      </c>
      <c r="C2346" s="9" t="s">
        <v>92</v>
      </c>
      <c r="D2346" s="9" t="s">
        <v>185</v>
      </c>
      <c r="E2346" s="9" t="s">
        <v>185</v>
      </c>
      <c r="F2346" s="9">
        <v>0</v>
      </c>
      <c r="G2346" s="9">
        <v>0</v>
      </c>
      <c r="H2346" s="9">
        <v>0.31</v>
      </c>
      <c r="I2346" s="9">
        <v>-0.31</v>
      </c>
      <c r="J2346" s="9">
        <v>17.62</v>
      </c>
      <c r="K2346" s="9">
        <v>0</v>
      </c>
    </row>
    <row r="2347" spans="1:11">
      <c r="A2347" s="9">
        <v>20220506</v>
      </c>
      <c r="B2347" s="9">
        <v>20220506</v>
      </c>
      <c r="C2347" s="9" t="s">
        <v>92</v>
      </c>
      <c r="D2347" s="9" t="s">
        <v>185</v>
      </c>
      <c r="E2347" s="9" t="s">
        <v>185</v>
      </c>
      <c r="F2347" s="9">
        <v>0</v>
      </c>
      <c r="G2347" s="9">
        <v>0</v>
      </c>
      <c r="H2347" s="9">
        <v>0.05</v>
      </c>
      <c r="I2347" s="9">
        <v>-0.05</v>
      </c>
      <c r="J2347" s="9">
        <v>17.57</v>
      </c>
      <c r="K2347" s="9">
        <v>0</v>
      </c>
    </row>
    <row r="2348" spans="1:11">
      <c r="A2348" s="9">
        <v>20220510</v>
      </c>
      <c r="B2348" s="9">
        <v>20220510</v>
      </c>
      <c r="C2348" s="9" t="s">
        <v>92</v>
      </c>
      <c r="D2348" s="9" t="s">
        <v>185</v>
      </c>
      <c r="E2348" s="9" t="s">
        <v>185</v>
      </c>
      <c r="F2348" s="9">
        <v>0</v>
      </c>
      <c r="G2348" s="9">
        <v>0</v>
      </c>
      <c r="H2348" s="9">
        <v>0.21</v>
      </c>
      <c r="I2348" s="9">
        <v>-0.21</v>
      </c>
      <c r="J2348" s="9">
        <v>17.36</v>
      </c>
      <c r="K2348" s="9">
        <v>0</v>
      </c>
    </row>
    <row r="2349" spans="1:11">
      <c r="A2349" s="9">
        <v>20220511</v>
      </c>
      <c r="B2349" s="9">
        <v>20220511</v>
      </c>
      <c r="C2349" s="9" t="s">
        <v>92</v>
      </c>
      <c r="D2349" s="9" t="s">
        <v>185</v>
      </c>
      <c r="E2349" s="9" t="s">
        <v>185</v>
      </c>
      <c r="F2349" s="9">
        <v>0</v>
      </c>
      <c r="G2349" s="9">
        <v>0</v>
      </c>
      <c r="H2349" s="9">
        <v>0.05</v>
      </c>
      <c r="I2349" s="9">
        <v>-0.05</v>
      </c>
      <c r="J2349" s="9">
        <v>17.31</v>
      </c>
      <c r="K2349" s="9">
        <v>0</v>
      </c>
    </row>
    <row r="2350" spans="1:11">
      <c r="A2350" s="9">
        <v>20220512</v>
      </c>
      <c r="B2350" s="9">
        <v>20220512</v>
      </c>
      <c r="C2350" s="9" t="s">
        <v>92</v>
      </c>
      <c r="D2350" s="9" t="s">
        <v>185</v>
      </c>
      <c r="E2350" s="9" t="s">
        <v>185</v>
      </c>
      <c r="F2350" s="9">
        <v>0</v>
      </c>
      <c r="G2350" s="9">
        <v>0</v>
      </c>
      <c r="H2350" s="9">
        <v>0.05</v>
      </c>
      <c r="I2350" s="9">
        <v>-0.05</v>
      </c>
      <c r="J2350" s="9">
        <v>17.26</v>
      </c>
      <c r="K2350" s="9">
        <v>0</v>
      </c>
    </row>
    <row r="2351" spans="1:11">
      <c r="A2351" s="9">
        <v>20220513</v>
      </c>
      <c r="B2351" s="9">
        <v>20220513</v>
      </c>
      <c r="C2351" s="9" t="s">
        <v>92</v>
      </c>
      <c r="D2351" s="9" t="s">
        <v>185</v>
      </c>
      <c r="E2351" s="9" t="s">
        <v>185</v>
      </c>
      <c r="F2351" s="9">
        <v>0</v>
      </c>
      <c r="G2351" s="9">
        <v>0</v>
      </c>
      <c r="H2351" s="9">
        <v>0.05</v>
      </c>
      <c r="I2351" s="9">
        <v>-0.05</v>
      </c>
      <c r="J2351" s="9">
        <v>17.21</v>
      </c>
      <c r="K2351" s="9">
        <v>0</v>
      </c>
    </row>
    <row r="2352" spans="1:11">
      <c r="A2352" s="9">
        <v>20220516</v>
      </c>
      <c r="B2352" s="9">
        <v>20220516</v>
      </c>
      <c r="C2352" s="9" t="s">
        <v>92</v>
      </c>
      <c r="D2352" s="9" t="s">
        <v>185</v>
      </c>
      <c r="E2352" s="9" t="s">
        <v>185</v>
      </c>
      <c r="F2352" s="9">
        <v>0</v>
      </c>
      <c r="G2352" s="9">
        <v>0</v>
      </c>
      <c r="H2352" s="9">
        <v>0.16</v>
      </c>
      <c r="I2352" s="9">
        <v>-0.16</v>
      </c>
      <c r="J2352" s="9">
        <v>17.05</v>
      </c>
      <c r="K2352" s="9">
        <v>0</v>
      </c>
    </row>
    <row r="2353" spans="1:11">
      <c r="A2353" s="9">
        <v>20220517</v>
      </c>
      <c r="B2353" s="9">
        <v>20220517</v>
      </c>
      <c r="C2353" s="9" t="s">
        <v>92</v>
      </c>
      <c r="D2353" s="9" t="s">
        <v>185</v>
      </c>
      <c r="E2353" s="9" t="s">
        <v>185</v>
      </c>
      <c r="F2353" s="9">
        <v>0</v>
      </c>
      <c r="G2353" s="9">
        <v>0</v>
      </c>
      <c r="H2353" s="9">
        <v>0.05</v>
      </c>
      <c r="I2353" s="9">
        <v>-0.05</v>
      </c>
      <c r="J2353" s="9">
        <v>17</v>
      </c>
      <c r="K2353" s="9">
        <v>0</v>
      </c>
    </row>
    <row r="2354" spans="1:11">
      <c r="A2354" s="9">
        <v>20220518</v>
      </c>
      <c r="B2354" s="9">
        <v>20220518</v>
      </c>
      <c r="C2354" s="9" t="s">
        <v>92</v>
      </c>
      <c r="D2354" s="9" t="s">
        <v>185</v>
      </c>
      <c r="E2354" s="9" t="s">
        <v>185</v>
      </c>
      <c r="F2354" s="9">
        <v>0</v>
      </c>
      <c r="G2354" s="9">
        <v>0</v>
      </c>
      <c r="H2354" s="9">
        <v>0.05</v>
      </c>
      <c r="I2354" s="9">
        <v>-0.05</v>
      </c>
      <c r="J2354" s="9">
        <v>16.95</v>
      </c>
      <c r="K2354" s="9">
        <v>0</v>
      </c>
    </row>
    <row r="2355" spans="1:11">
      <c r="A2355" s="9">
        <v>20220519</v>
      </c>
      <c r="B2355" s="9">
        <v>20220519</v>
      </c>
      <c r="C2355" s="9" t="s">
        <v>92</v>
      </c>
      <c r="D2355" s="9" t="s">
        <v>185</v>
      </c>
      <c r="E2355" s="9" t="s">
        <v>185</v>
      </c>
      <c r="F2355" s="9">
        <v>0</v>
      </c>
      <c r="G2355" s="9">
        <v>0</v>
      </c>
      <c r="H2355" s="9">
        <v>0.05</v>
      </c>
      <c r="I2355" s="9">
        <v>-0.05</v>
      </c>
      <c r="J2355" s="9">
        <v>16.9</v>
      </c>
      <c r="K2355" s="9">
        <v>0</v>
      </c>
    </row>
    <row r="2356" spans="1:11">
      <c r="A2356" s="9">
        <v>20220520</v>
      </c>
      <c r="B2356" s="9">
        <v>20220520</v>
      </c>
      <c r="C2356" s="9" t="s">
        <v>92</v>
      </c>
      <c r="D2356" s="9" t="s">
        <v>185</v>
      </c>
      <c r="E2356" s="9" t="s">
        <v>185</v>
      </c>
      <c r="F2356" s="9">
        <v>0</v>
      </c>
      <c r="G2356" s="9">
        <v>0</v>
      </c>
      <c r="H2356" s="9">
        <v>0.05</v>
      </c>
      <c r="I2356" s="9">
        <v>-0.05</v>
      </c>
      <c r="J2356" s="9">
        <v>16.85</v>
      </c>
      <c r="K2356" s="9">
        <v>0</v>
      </c>
    </row>
    <row r="2357" spans="1:11">
      <c r="A2357" s="9">
        <v>20220523</v>
      </c>
      <c r="B2357" s="9">
        <v>20220523</v>
      </c>
      <c r="C2357" s="9" t="s">
        <v>92</v>
      </c>
      <c r="D2357" s="9" t="s">
        <v>185</v>
      </c>
      <c r="E2357" s="9" t="s">
        <v>185</v>
      </c>
      <c r="F2357" s="9">
        <v>0</v>
      </c>
      <c r="G2357" s="9">
        <v>0</v>
      </c>
      <c r="H2357" s="9">
        <v>0.15</v>
      </c>
      <c r="I2357" s="9">
        <v>-0.15</v>
      </c>
      <c r="J2357" s="9">
        <v>16.7</v>
      </c>
      <c r="K2357" s="9">
        <v>0</v>
      </c>
    </row>
    <row r="2358" spans="1:11">
      <c r="A2358" s="9">
        <v>20220524</v>
      </c>
      <c r="B2358" s="9">
        <v>20220524</v>
      </c>
      <c r="C2358" s="9" t="s">
        <v>92</v>
      </c>
      <c r="D2358" s="9" t="s">
        <v>185</v>
      </c>
      <c r="E2358" s="9" t="s">
        <v>185</v>
      </c>
      <c r="F2358" s="9">
        <v>0</v>
      </c>
      <c r="G2358" s="9">
        <v>0</v>
      </c>
      <c r="H2358" s="9">
        <v>0.05</v>
      </c>
      <c r="I2358" s="9">
        <v>-0.05</v>
      </c>
      <c r="J2358" s="9">
        <v>16.65</v>
      </c>
      <c r="K2358" s="9">
        <v>0</v>
      </c>
    </row>
    <row r="2359" spans="1:11">
      <c r="A2359" s="9">
        <v>20220525</v>
      </c>
      <c r="B2359" s="9">
        <v>20220525</v>
      </c>
      <c r="C2359" s="9" t="s">
        <v>92</v>
      </c>
      <c r="D2359" s="9" t="s">
        <v>185</v>
      </c>
      <c r="E2359" s="9" t="s">
        <v>185</v>
      </c>
      <c r="F2359" s="9">
        <v>0</v>
      </c>
      <c r="G2359" s="9">
        <v>0</v>
      </c>
      <c r="H2359" s="9">
        <v>0.05</v>
      </c>
      <c r="I2359" s="9">
        <v>-0.05</v>
      </c>
      <c r="J2359" s="9">
        <v>16.6</v>
      </c>
      <c r="K2359" s="9">
        <v>0</v>
      </c>
    </row>
    <row r="2360" spans="1:11">
      <c r="A2360" s="9">
        <v>20220526</v>
      </c>
      <c r="B2360" s="9">
        <v>20220526</v>
      </c>
      <c r="C2360" s="9" t="s">
        <v>92</v>
      </c>
      <c r="D2360" s="9" t="s">
        <v>185</v>
      </c>
      <c r="E2360" s="9" t="s">
        <v>185</v>
      </c>
      <c r="F2360" s="9">
        <v>0</v>
      </c>
      <c r="G2360" s="9">
        <v>0</v>
      </c>
      <c r="H2360" s="9">
        <v>0.05</v>
      </c>
      <c r="I2360" s="9">
        <v>-0.05</v>
      </c>
      <c r="J2360" s="9">
        <v>16.55</v>
      </c>
      <c r="K2360" s="9">
        <v>0</v>
      </c>
    </row>
    <row r="2361" spans="1:11">
      <c r="A2361" s="9">
        <v>20220527</v>
      </c>
      <c r="B2361" s="9">
        <v>20220527</v>
      </c>
      <c r="C2361" s="9" t="s">
        <v>92</v>
      </c>
      <c r="D2361" s="9" t="s">
        <v>185</v>
      </c>
      <c r="E2361" s="9" t="s">
        <v>185</v>
      </c>
      <c r="F2361" s="9">
        <v>0</v>
      </c>
      <c r="G2361" s="9">
        <v>0</v>
      </c>
      <c r="H2361" s="9">
        <v>0.05</v>
      </c>
      <c r="I2361" s="9">
        <v>-0.05</v>
      </c>
      <c r="J2361" s="9">
        <v>16.5</v>
      </c>
      <c r="K2361" s="9">
        <v>0</v>
      </c>
    </row>
    <row r="2362" spans="1:11">
      <c r="A2362" s="9">
        <v>20220530</v>
      </c>
      <c r="B2362" s="9">
        <v>20220530</v>
      </c>
      <c r="C2362" s="9" t="s">
        <v>92</v>
      </c>
      <c r="D2362" s="9" t="s">
        <v>185</v>
      </c>
      <c r="E2362" s="9" t="s">
        <v>185</v>
      </c>
      <c r="F2362" s="9">
        <v>0</v>
      </c>
      <c r="G2362" s="9">
        <v>0</v>
      </c>
      <c r="H2362" s="9">
        <v>0.15</v>
      </c>
      <c r="I2362" s="9">
        <v>-0.15</v>
      </c>
      <c r="J2362" s="9">
        <v>16.35</v>
      </c>
      <c r="K2362" s="9">
        <v>0</v>
      </c>
    </row>
    <row r="2363" spans="1:11">
      <c r="A2363" s="9">
        <v>20220531</v>
      </c>
      <c r="B2363" s="9">
        <v>20220531</v>
      </c>
      <c r="C2363" s="9" t="s">
        <v>92</v>
      </c>
      <c r="D2363" s="9" t="s">
        <v>185</v>
      </c>
      <c r="E2363" s="9" t="s">
        <v>185</v>
      </c>
      <c r="F2363" s="9">
        <v>0</v>
      </c>
      <c r="G2363" s="9">
        <v>0</v>
      </c>
      <c r="H2363" s="9">
        <v>0.05</v>
      </c>
      <c r="I2363" s="9">
        <v>-0.05</v>
      </c>
      <c r="J2363" s="9">
        <v>16.3</v>
      </c>
      <c r="K2363" s="9">
        <v>0</v>
      </c>
    </row>
    <row r="2364" spans="1:11">
      <c r="A2364" s="9">
        <v>20220601</v>
      </c>
      <c r="B2364" s="9">
        <v>20220601</v>
      </c>
      <c r="C2364" s="9" t="s">
        <v>92</v>
      </c>
      <c r="D2364" s="9" t="s">
        <v>185</v>
      </c>
      <c r="E2364" s="9" t="s">
        <v>185</v>
      </c>
      <c r="F2364" s="9">
        <v>0</v>
      </c>
      <c r="G2364" s="9">
        <v>0</v>
      </c>
      <c r="H2364" s="9">
        <v>0.05</v>
      </c>
      <c r="I2364" s="9">
        <v>-0.05</v>
      </c>
      <c r="J2364" s="9">
        <v>16.25</v>
      </c>
      <c r="K2364" s="9">
        <v>0</v>
      </c>
    </row>
    <row r="2365" spans="1:11">
      <c r="A2365" s="9">
        <v>20220602</v>
      </c>
      <c r="B2365" s="9">
        <v>20220602</v>
      </c>
      <c r="C2365" s="9" t="s">
        <v>92</v>
      </c>
      <c r="D2365" s="9" t="s">
        <v>185</v>
      </c>
      <c r="E2365" s="9" t="s">
        <v>185</v>
      </c>
      <c r="F2365" s="9">
        <v>0</v>
      </c>
      <c r="G2365" s="9">
        <v>0</v>
      </c>
      <c r="H2365" s="9">
        <v>0.05</v>
      </c>
      <c r="I2365" s="9">
        <v>-0.05</v>
      </c>
      <c r="J2365" s="9">
        <v>16.2</v>
      </c>
      <c r="K2365" s="9">
        <v>0</v>
      </c>
    </row>
    <row r="2366" spans="1:11">
      <c r="A2366" s="9">
        <v>20220606</v>
      </c>
      <c r="B2366" s="9">
        <v>20220606</v>
      </c>
      <c r="C2366" s="9" t="s">
        <v>92</v>
      </c>
      <c r="D2366" s="9" t="s">
        <v>185</v>
      </c>
      <c r="E2366" s="9" t="s">
        <v>185</v>
      </c>
      <c r="F2366" s="9">
        <v>0</v>
      </c>
      <c r="G2366" s="9">
        <v>0</v>
      </c>
      <c r="H2366" s="9">
        <v>0.2</v>
      </c>
      <c r="I2366" s="9">
        <v>-0.2</v>
      </c>
      <c r="J2366" s="9">
        <v>16</v>
      </c>
      <c r="K2366" s="9">
        <v>0</v>
      </c>
    </row>
    <row r="2367" spans="1:11">
      <c r="A2367" s="9">
        <v>20220607</v>
      </c>
      <c r="B2367" s="9">
        <v>20220607</v>
      </c>
      <c r="C2367" s="9" t="s">
        <v>92</v>
      </c>
      <c r="D2367" s="9" t="s">
        <v>185</v>
      </c>
      <c r="E2367" s="9" t="s">
        <v>185</v>
      </c>
      <c r="F2367" s="9">
        <v>0</v>
      </c>
      <c r="G2367" s="9">
        <v>0</v>
      </c>
      <c r="H2367" s="9">
        <v>0.05</v>
      </c>
      <c r="I2367" s="9">
        <v>-0.05</v>
      </c>
      <c r="J2367" s="9">
        <v>15.95</v>
      </c>
      <c r="K2367" s="9">
        <v>0</v>
      </c>
    </row>
    <row r="2368" spans="1:11">
      <c r="A2368" s="9">
        <v>20220608</v>
      </c>
      <c r="B2368" s="9">
        <v>20220608</v>
      </c>
      <c r="C2368" s="9" t="s">
        <v>92</v>
      </c>
      <c r="D2368" s="9" t="s">
        <v>185</v>
      </c>
      <c r="E2368" s="9" t="s">
        <v>185</v>
      </c>
      <c r="F2368" s="9">
        <v>0</v>
      </c>
      <c r="G2368" s="9">
        <v>0</v>
      </c>
      <c r="H2368" s="9">
        <v>0.05</v>
      </c>
      <c r="I2368" s="9">
        <v>-0.05</v>
      </c>
      <c r="J2368" s="9">
        <v>15.9</v>
      </c>
      <c r="K2368" s="9">
        <v>0</v>
      </c>
    </row>
    <row r="2369" spans="1:11">
      <c r="A2369" s="9">
        <v>20220609</v>
      </c>
      <c r="B2369" s="9">
        <v>20220609</v>
      </c>
      <c r="C2369" s="9" t="s">
        <v>92</v>
      </c>
      <c r="D2369" s="9" t="s">
        <v>185</v>
      </c>
      <c r="E2369" s="9" t="s">
        <v>185</v>
      </c>
      <c r="F2369" s="9">
        <v>0</v>
      </c>
      <c r="G2369" s="9">
        <v>0</v>
      </c>
      <c r="H2369" s="9">
        <v>0.05</v>
      </c>
      <c r="I2369" s="9">
        <v>-0.05</v>
      </c>
      <c r="J2369" s="9">
        <v>15.85</v>
      </c>
      <c r="K2369" s="9">
        <v>0</v>
      </c>
    </row>
    <row r="2370" spans="1:11">
      <c r="A2370" s="9">
        <v>20220610</v>
      </c>
      <c r="B2370" s="9">
        <v>20220610</v>
      </c>
      <c r="C2370" s="9" t="s">
        <v>92</v>
      </c>
      <c r="D2370" s="9" t="s">
        <v>185</v>
      </c>
      <c r="E2370" s="9" t="s">
        <v>185</v>
      </c>
      <c r="F2370" s="9">
        <v>0</v>
      </c>
      <c r="G2370" s="9">
        <v>0</v>
      </c>
      <c r="H2370" s="9">
        <v>0.05</v>
      </c>
      <c r="I2370" s="9">
        <v>-0.05</v>
      </c>
      <c r="J2370" s="9">
        <v>15.8</v>
      </c>
      <c r="K2370" s="9">
        <v>0</v>
      </c>
    </row>
    <row r="2371" spans="1:11">
      <c r="A2371" s="9">
        <v>20220613</v>
      </c>
      <c r="B2371" s="9">
        <v>20220613</v>
      </c>
      <c r="C2371" s="9" t="s">
        <v>92</v>
      </c>
      <c r="D2371" s="9" t="s">
        <v>185</v>
      </c>
      <c r="E2371" s="9" t="s">
        <v>185</v>
      </c>
      <c r="F2371" s="9">
        <v>0</v>
      </c>
      <c r="G2371" s="9">
        <v>0</v>
      </c>
      <c r="H2371" s="9">
        <v>0.15</v>
      </c>
      <c r="I2371" s="9">
        <v>-0.15</v>
      </c>
      <c r="J2371" s="9">
        <v>15.65</v>
      </c>
      <c r="K2371" s="9">
        <v>0</v>
      </c>
    </row>
    <row r="2372" spans="1:11">
      <c r="A2372" s="9">
        <v>20220614</v>
      </c>
      <c r="B2372" s="9">
        <v>20220614</v>
      </c>
      <c r="C2372" s="9" t="s">
        <v>92</v>
      </c>
      <c r="D2372" s="9" t="s">
        <v>185</v>
      </c>
      <c r="E2372" s="9" t="s">
        <v>185</v>
      </c>
      <c r="F2372" s="9">
        <v>0</v>
      </c>
      <c r="G2372" s="9">
        <v>0</v>
      </c>
      <c r="H2372" s="9">
        <v>0.05</v>
      </c>
      <c r="I2372" s="9">
        <v>-0.05</v>
      </c>
      <c r="J2372" s="9">
        <v>15.6</v>
      </c>
      <c r="K2372" s="9">
        <v>0</v>
      </c>
    </row>
    <row r="2373" spans="1:11">
      <c r="A2373" s="9">
        <v>20220615</v>
      </c>
      <c r="B2373" s="9">
        <v>20220615</v>
      </c>
      <c r="C2373" s="9" t="s">
        <v>92</v>
      </c>
      <c r="D2373" s="9" t="s">
        <v>185</v>
      </c>
      <c r="E2373" s="9" t="s">
        <v>185</v>
      </c>
      <c r="F2373" s="9">
        <v>0</v>
      </c>
      <c r="G2373" s="9">
        <v>0</v>
      </c>
      <c r="H2373" s="9">
        <v>0.05</v>
      </c>
      <c r="I2373" s="9">
        <v>-0.05</v>
      </c>
      <c r="J2373" s="9">
        <v>15.55</v>
      </c>
      <c r="K2373" s="9">
        <v>0</v>
      </c>
    </row>
    <row r="2374" spans="1:11">
      <c r="A2374" s="9">
        <v>20220616</v>
      </c>
      <c r="B2374" s="9">
        <v>20220616</v>
      </c>
      <c r="C2374" s="9" t="s">
        <v>92</v>
      </c>
      <c r="D2374" s="9" t="s">
        <v>185</v>
      </c>
      <c r="E2374" s="9" t="s">
        <v>185</v>
      </c>
      <c r="F2374" s="9">
        <v>0</v>
      </c>
      <c r="G2374" s="9">
        <v>0</v>
      </c>
      <c r="H2374" s="9">
        <v>0.05</v>
      </c>
      <c r="I2374" s="9">
        <v>-0.05</v>
      </c>
      <c r="J2374" s="9">
        <v>15.5</v>
      </c>
      <c r="K2374" s="9">
        <v>0</v>
      </c>
    </row>
    <row r="2375" spans="1:11">
      <c r="A2375" s="9">
        <v>20220617</v>
      </c>
      <c r="B2375" s="9">
        <v>20220617</v>
      </c>
      <c r="C2375" s="9" t="s">
        <v>92</v>
      </c>
      <c r="D2375" s="9" t="s">
        <v>185</v>
      </c>
      <c r="E2375" s="9" t="s">
        <v>185</v>
      </c>
      <c r="F2375" s="9">
        <v>0</v>
      </c>
      <c r="G2375" s="9">
        <v>0</v>
      </c>
      <c r="H2375" s="9">
        <v>0.04</v>
      </c>
      <c r="I2375" s="9">
        <v>-0.04</v>
      </c>
      <c r="J2375" s="9">
        <v>4.96</v>
      </c>
      <c r="K2375" s="9">
        <v>0</v>
      </c>
    </row>
    <row r="2376" spans="1:11">
      <c r="A2376" s="9">
        <v>20220617</v>
      </c>
      <c r="B2376" s="9">
        <v>20220617</v>
      </c>
      <c r="C2376" s="9" t="s">
        <v>90</v>
      </c>
      <c r="D2376" s="9" t="s">
        <v>185</v>
      </c>
      <c r="E2376" s="9" t="s">
        <v>185</v>
      </c>
      <c r="F2376" s="9">
        <v>0</v>
      </c>
      <c r="G2376" s="9">
        <v>0</v>
      </c>
      <c r="H2376" s="9">
        <v>0</v>
      </c>
      <c r="I2376" s="9">
        <v>26000</v>
      </c>
      <c r="J2376" s="9">
        <v>26015.5</v>
      </c>
      <c r="K2376" s="9">
        <v>0</v>
      </c>
    </row>
    <row r="2377" spans="1:11">
      <c r="A2377" s="9">
        <v>20220617</v>
      </c>
      <c r="B2377" s="9">
        <v>20220617</v>
      </c>
      <c r="C2377" s="9" t="s">
        <v>86</v>
      </c>
      <c r="D2377" s="9" t="s">
        <v>83</v>
      </c>
      <c r="E2377" s="9" t="s">
        <v>186</v>
      </c>
      <c r="F2377" s="9">
        <v>0</v>
      </c>
      <c r="G2377" s="9">
        <v>4019</v>
      </c>
      <c r="H2377" s="9">
        <v>0</v>
      </c>
      <c r="I2377" s="9">
        <v>4019.5</v>
      </c>
      <c r="J2377" s="9">
        <v>30035</v>
      </c>
      <c r="K2377" s="9">
        <v>0</v>
      </c>
    </row>
    <row r="2378" spans="1:11">
      <c r="A2378" s="9">
        <v>20220617</v>
      </c>
      <c r="B2378" s="9">
        <v>20220615</v>
      </c>
      <c r="C2378" s="9" t="s">
        <v>187</v>
      </c>
      <c r="D2378" s="9" t="s">
        <v>104</v>
      </c>
      <c r="E2378" s="9" t="s">
        <v>193</v>
      </c>
      <c r="F2378" s="9">
        <v>60.06</v>
      </c>
      <c r="G2378" s="9">
        <v>500</v>
      </c>
      <c r="H2378" s="9">
        <v>30030</v>
      </c>
      <c r="I2378" s="9">
        <v>-30030</v>
      </c>
      <c r="J2378" s="9">
        <v>5</v>
      </c>
      <c r="K2378" s="9">
        <v>0</v>
      </c>
    </row>
    <row r="2379" spans="1:11">
      <c r="A2379" s="9">
        <v>20220620</v>
      </c>
      <c r="B2379" s="9">
        <v>20220620</v>
      </c>
      <c r="C2379" s="9" t="s">
        <v>92</v>
      </c>
      <c r="D2379" s="9" t="s">
        <v>185</v>
      </c>
      <c r="E2379" s="9" t="s">
        <v>185</v>
      </c>
      <c r="F2379" s="9">
        <v>0</v>
      </c>
      <c r="G2379" s="9">
        <v>0</v>
      </c>
      <c r="H2379" s="9">
        <v>0.13</v>
      </c>
      <c r="I2379" s="9">
        <v>-0.13</v>
      </c>
      <c r="J2379" s="9">
        <v>4.88</v>
      </c>
      <c r="K2379" s="9">
        <v>0</v>
      </c>
    </row>
    <row r="2380" spans="1:11">
      <c r="A2380" s="9">
        <v>20220620</v>
      </c>
      <c r="B2380" s="9">
        <v>20220620</v>
      </c>
      <c r="C2380" s="9" t="s">
        <v>89</v>
      </c>
      <c r="D2380" s="9" t="s">
        <v>185</v>
      </c>
      <c r="E2380" s="9" t="s">
        <v>185</v>
      </c>
      <c r="F2380" s="9">
        <v>0</v>
      </c>
      <c r="G2380" s="9">
        <v>0</v>
      </c>
      <c r="H2380" s="9">
        <v>0</v>
      </c>
      <c r="I2380" s="9">
        <v>0.01</v>
      </c>
      <c r="J2380" s="9">
        <v>4.97</v>
      </c>
      <c r="K2380" s="9">
        <v>0</v>
      </c>
    </row>
    <row r="2381" spans="1:11">
      <c r="A2381" s="9">
        <v>20220620</v>
      </c>
      <c r="B2381" s="9">
        <v>20220620</v>
      </c>
      <c r="C2381" s="9" t="s">
        <v>86</v>
      </c>
      <c r="D2381" s="9" t="s">
        <v>83</v>
      </c>
      <c r="E2381" s="9" t="s">
        <v>186</v>
      </c>
      <c r="F2381" s="9">
        <v>0</v>
      </c>
      <c r="G2381" s="9">
        <v>0</v>
      </c>
      <c r="H2381" s="9">
        <v>0</v>
      </c>
      <c r="I2381" s="9">
        <v>0.04</v>
      </c>
      <c r="J2381" s="9">
        <v>5.01</v>
      </c>
      <c r="K2381" s="9">
        <v>0</v>
      </c>
    </row>
    <row r="2382" spans="1:11">
      <c r="A2382" s="9">
        <v>20220620</v>
      </c>
      <c r="B2382" s="9">
        <v>20220615</v>
      </c>
      <c r="C2382" s="9" t="s">
        <v>189</v>
      </c>
      <c r="D2382" s="9" t="s">
        <v>104</v>
      </c>
      <c r="E2382" s="9" t="s">
        <v>193</v>
      </c>
      <c r="F2382" s="9">
        <v>60.06</v>
      </c>
      <c r="G2382" s="9">
        <v>500</v>
      </c>
      <c r="H2382" s="9">
        <v>30030</v>
      </c>
      <c r="I2382" s="9">
        <v>0</v>
      </c>
      <c r="J2382" s="9">
        <v>5.01</v>
      </c>
      <c r="K2382" s="9">
        <v>500</v>
      </c>
    </row>
    <row r="2383" spans="1:11">
      <c r="A2383" s="9">
        <v>20220621</v>
      </c>
      <c r="B2383" s="9">
        <v>20220621</v>
      </c>
      <c r="C2383" s="9" t="s">
        <v>85</v>
      </c>
      <c r="D2383" s="9" t="s">
        <v>83</v>
      </c>
      <c r="E2383" s="9" t="s">
        <v>186</v>
      </c>
      <c r="F2383" s="9">
        <v>0</v>
      </c>
      <c r="G2383" s="9">
        <v>0</v>
      </c>
      <c r="H2383" s="9">
        <v>0</v>
      </c>
      <c r="I2383" s="9">
        <v>-31117.07</v>
      </c>
      <c r="J2383" s="9">
        <v>-31112.19</v>
      </c>
      <c r="K2383" s="9">
        <v>0</v>
      </c>
    </row>
    <row r="2384" spans="1:11">
      <c r="A2384" s="9">
        <v>20220621</v>
      </c>
      <c r="B2384" s="9">
        <v>20220621</v>
      </c>
      <c r="C2384" s="9" t="s">
        <v>92</v>
      </c>
      <c r="D2384" s="9" t="s">
        <v>185</v>
      </c>
      <c r="E2384" s="9" t="s">
        <v>185</v>
      </c>
      <c r="F2384" s="9">
        <v>0</v>
      </c>
      <c r="G2384" s="9">
        <v>0</v>
      </c>
      <c r="H2384" s="9">
        <v>0.04</v>
      </c>
      <c r="I2384" s="9">
        <v>-0.04</v>
      </c>
      <c r="J2384" s="9">
        <v>4.96</v>
      </c>
      <c r="K2384" s="9">
        <v>0</v>
      </c>
    </row>
    <row r="2385" spans="1:11">
      <c r="A2385" s="9">
        <v>20220621</v>
      </c>
      <c r="B2385" s="9">
        <v>20220617</v>
      </c>
      <c r="C2385" s="9" t="s">
        <v>194</v>
      </c>
      <c r="D2385" s="14" t="s">
        <v>97</v>
      </c>
      <c r="E2385" s="9" t="s">
        <v>195</v>
      </c>
      <c r="F2385" s="9">
        <v>15.59</v>
      </c>
      <c r="G2385" s="9">
        <v>2000</v>
      </c>
      <c r="H2385" s="9">
        <v>31178.43</v>
      </c>
      <c r="I2385" s="9">
        <v>31117.19</v>
      </c>
      <c r="J2385" s="9">
        <v>5</v>
      </c>
      <c r="K2385" s="9">
        <v>0</v>
      </c>
    </row>
    <row r="2386" spans="1:11">
      <c r="A2386" s="9">
        <v>20220622</v>
      </c>
      <c r="B2386" s="9">
        <v>20220622</v>
      </c>
      <c r="C2386" s="9" t="s">
        <v>92</v>
      </c>
      <c r="D2386" s="9" t="s">
        <v>185</v>
      </c>
      <c r="E2386" s="9" t="s">
        <v>185</v>
      </c>
      <c r="F2386" s="9">
        <v>0</v>
      </c>
      <c r="G2386" s="9">
        <v>0</v>
      </c>
      <c r="H2386" s="9">
        <v>0.04</v>
      </c>
      <c r="I2386" s="9">
        <v>-0.04</v>
      </c>
      <c r="J2386" s="9">
        <v>21.5</v>
      </c>
      <c r="K2386" s="9">
        <v>0</v>
      </c>
    </row>
    <row r="2387" spans="1:11">
      <c r="A2387" s="9">
        <v>20220622</v>
      </c>
      <c r="B2387" s="9">
        <v>0</v>
      </c>
      <c r="C2387" s="9" t="s">
        <v>84</v>
      </c>
      <c r="D2387" s="9" t="s">
        <v>83</v>
      </c>
      <c r="E2387" s="9" t="s">
        <v>186</v>
      </c>
      <c r="F2387" s="9">
        <v>0</v>
      </c>
      <c r="G2387" s="9">
        <v>0</v>
      </c>
      <c r="H2387" s="9">
        <v>16.54</v>
      </c>
      <c r="I2387" s="9">
        <v>16.54</v>
      </c>
      <c r="J2387" s="9">
        <v>21.54</v>
      </c>
      <c r="K2387" s="9">
        <v>0</v>
      </c>
    </row>
    <row r="2388" spans="1:11">
      <c r="A2388" s="9">
        <v>20220622</v>
      </c>
      <c r="B2388" s="9">
        <v>20220622</v>
      </c>
      <c r="C2388" s="9" t="s">
        <v>86</v>
      </c>
      <c r="D2388" s="9" t="s">
        <v>83</v>
      </c>
      <c r="E2388" s="9" t="s">
        <v>186</v>
      </c>
      <c r="F2388" s="9">
        <v>0</v>
      </c>
      <c r="G2388" s="9">
        <v>0</v>
      </c>
      <c r="H2388" s="9">
        <v>0</v>
      </c>
      <c r="I2388" s="9">
        <v>0.04</v>
      </c>
      <c r="J2388" s="9">
        <v>5</v>
      </c>
      <c r="K2388" s="9">
        <v>0</v>
      </c>
    </row>
    <row r="2389" spans="1:11">
      <c r="A2389" s="9">
        <v>20220623</v>
      </c>
      <c r="B2389" s="9">
        <v>20220623</v>
      </c>
      <c r="C2389" s="9" t="s">
        <v>196</v>
      </c>
      <c r="D2389" s="9" t="s">
        <v>26</v>
      </c>
      <c r="E2389" s="9" t="s">
        <v>197</v>
      </c>
      <c r="F2389" s="9">
        <v>0</v>
      </c>
      <c r="G2389" s="9">
        <v>0</v>
      </c>
      <c r="H2389" s="9">
        <v>30000</v>
      </c>
      <c r="I2389" s="9">
        <v>30000</v>
      </c>
      <c r="J2389" s="9">
        <v>30021.5</v>
      </c>
      <c r="K2389" s="9">
        <v>0</v>
      </c>
    </row>
    <row r="2390" spans="1:11">
      <c r="A2390" s="9">
        <v>20220623</v>
      </c>
      <c r="B2390" s="9">
        <v>20220623</v>
      </c>
      <c r="C2390" s="9" t="s">
        <v>87</v>
      </c>
      <c r="D2390" s="9" t="s">
        <v>83</v>
      </c>
      <c r="E2390" s="9" t="s">
        <v>186</v>
      </c>
      <c r="F2390" s="9">
        <v>0</v>
      </c>
      <c r="G2390" s="9">
        <v>30000</v>
      </c>
      <c r="H2390" s="9">
        <v>30000</v>
      </c>
      <c r="I2390" s="9">
        <v>30000</v>
      </c>
      <c r="J2390" s="9">
        <v>30021.5</v>
      </c>
      <c r="K2390" s="9">
        <v>0</v>
      </c>
    </row>
    <row r="2391" spans="1:11">
      <c r="A2391" s="9">
        <v>20220623</v>
      </c>
      <c r="B2391" s="9">
        <v>20220615</v>
      </c>
      <c r="C2391" s="9" t="s">
        <v>191</v>
      </c>
      <c r="D2391" s="9" t="s">
        <v>104</v>
      </c>
      <c r="E2391" s="9" t="s">
        <v>198</v>
      </c>
      <c r="F2391" s="9">
        <v>60.06</v>
      </c>
      <c r="G2391" s="9">
        <v>500</v>
      </c>
      <c r="H2391" s="9">
        <v>30030</v>
      </c>
      <c r="I2391" s="9">
        <v>0</v>
      </c>
      <c r="J2391" s="9">
        <v>30021.5</v>
      </c>
      <c r="K2391" s="9">
        <v>0</v>
      </c>
    </row>
    <row r="2392" spans="1:11">
      <c r="A2392" s="9">
        <v>20220623</v>
      </c>
      <c r="B2392" s="9">
        <v>20220615</v>
      </c>
      <c r="C2392" s="9" t="s">
        <v>190</v>
      </c>
      <c r="D2392" s="9" t="s">
        <v>105</v>
      </c>
      <c r="E2392" s="9" t="s">
        <v>198</v>
      </c>
      <c r="F2392" s="9">
        <v>60.06</v>
      </c>
      <c r="G2392" s="9">
        <v>500</v>
      </c>
      <c r="H2392" s="9">
        <v>0</v>
      </c>
      <c r="I2392" s="9">
        <v>0</v>
      </c>
      <c r="J2392" s="9">
        <v>30021.5</v>
      </c>
      <c r="K2392" s="9">
        <v>500</v>
      </c>
    </row>
    <row r="2393" spans="1:11">
      <c r="A2393" s="9">
        <v>20220623</v>
      </c>
      <c r="B2393" s="9">
        <v>20220623</v>
      </c>
      <c r="C2393" s="9" t="s">
        <v>196</v>
      </c>
      <c r="D2393" s="9" t="s">
        <v>26</v>
      </c>
      <c r="E2393" s="9" t="s">
        <v>197</v>
      </c>
      <c r="F2393" s="9">
        <v>0</v>
      </c>
      <c r="G2393" s="9">
        <v>0</v>
      </c>
      <c r="H2393" s="9">
        <v>0</v>
      </c>
      <c r="I2393" s="9">
        <v>-30000</v>
      </c>
      <c r="J2393" s="9">
        <v>21.5</v>
      </c>
      <c r="K2393" s="9">
        <v>0</v>
      </c>
    </row>
    <row r="2394" spans="1:11">
      <c r="A2394" s="9">
        <v>20220623</v>
      </c>
      <c r="B2394" s="9">
        <v>20220623</v>
      </c>
      <c r="C2394" s="9" t="s">
        <v>92</v>
      </c>
      <c r="D2394" s="9" t="s">
        <v>185</v>
      </c>
      <c r="E2394" s="9" t="s">
        <v>185</v>
      </c>
      <c r="F2394" s="9">
        <v>0</v>
      </c>
      <c r="G2394" s="9">
        <v>0</v>
      </c>
      <c r="H2394" s="9">
        <v>0.04</v>
      </c>
      <c r="I2394" s="9">
        <v>-0.04</v>
      </c>
      <c r="J2394" s="9">
        <v>21.46</v>
      </c>
      <c r="K2394" s="9">
        <v>0</v>
      </c>
    </row>
    <row r="2395" spans="1:11">
      <c r="A2395" s="9">
        <v>20220623</v>
      </c>
      <c r="B2395" s="9">
        <v>20220623</v>
      </c>
      <c r="C2395" s="9" t="s">
        <v>91</v>
      </c>
      <c r="D2395" s="9" t="s">
        <v>185</v>
      </c>
      <c r="E2395" s="9" t="s">
        <v>185</v>
      </c>
      <c r="F2395" s="9">
        <v>0</v>
      </c>
      <c r="G2395" s="9">
        <v>0</v>
      </c>
      <c r="H2395" s="9">
        <v>0</v>
      </c>
      <c r="I2395" s="9">
        <v>-30000</v>
      </c>
      <c r="J2395" s="9">
        <v>21.5</v>
      </c>
      <c r="K2395" s="9">
        <v>0</v>
      </c>
    </row>
    <row r="2396" spans="1:11">
      <c r="A2396" s="9">
        <v>20220624</v>
      </c>
      <c r="B2396" s="9">
        <v>20220624</v>
      </c>
      <c r="C2396" s="9" t="s">
        <v>92</v>
      </c>
      <c r="D2396" s="9" t="s">
        <v>185</v>
      </c>
      <c r="E2396" s="9" t="s">
        <v>185</v>
      </c>
      <c r="F2396" s="9">
        <v>0</v>
      </c>
      <c r="G2396" s="9">
        <v>0</v>
      </c>
      <c r="H2396" s="9">
        <v>0.04</v>
      </c>
      <c r="I2396" s="9">
        <v>-0.04</v>
      </c>
      <c r="J2396" s="9">
        <v>13396.96</v>
      </c>
      <c r="K2396" s="9">
        <v>0</v>
      </c>
    </row>
    <row r="2397" spans="1:11">
      <c r="A2397" s="9">
        <v>20220624</v>
      </c>
      <c r="B2397" s="9">
        <v>20220624</v>
      </c>
      <c r="C2397" s="9" t="s">
        <v>199</v>
      </c>
      <c r="D2397" s="14" t="s">
        <v>93</v>
      </c>
      <c r="E2397" s="9" t="s">
        <v>200</v>
      </c>
      <c r="F2397" s="9">
        <v>0.25</v>
      </c>
      <c r="G2397" s="9">
        <v>54000</v>
      </c>
      <c r="H2397" s="9">
        <v>13392</v>
      </c>
      <c r="I2397" s="9">
        <v>13392</v>
      </c>
      <c r="J2397" s="9">
        <v>13397</v>
      </c>
      <c r="K2397" s="9">
        <v>54000</v>
      </c>
    </row>
    <row r="2398" spans="1:11">
      <c r="A2398" s="9">
        <v>20220624</v>
      </c>
      <c r="B2398" s="9">
        <v>20220624</v>
      </c>
      <c r="C2398" s="9" t="s">
        <v>192</v>
      </c>
      <c r="D2398" s="9" t="s">
        <v>105</v>
      </c>
      <c r="E2398" s="9" t="s">
        <v>201</v>
      </c>
      <c r="F2398" s="9">
        <v>91.02</v>
      </c>
      <c r="G2398" s="9">
        <v>500</v>
      </c>
      <c r="H2398" s="9">
        <v>45510</v>
      </c>
      <c r="I2398" s="9">
        <v>45454.93</v>
      </c>
      <c r="J2398" s="9">
        <v>47334.46</v>
      </c>
      <c r="K2398" s="9">
        <v>0</v>
      </c>
    </row>
    <row r="2399" spans="1:11">
      <c r="A2399" s="9">
        <v>20220624</v>
      </c>
      <c r="B2399" s="9">
        <v>20220624</v>
      </c>
      <c r="C2399" s="9" t="s">
        <v>86</v>
      </c>
      <c r="D2399" s="9" t="s">
        <v>83</v>
      </c>
      <c r="E2399" s="9" t="s">
        <v>186</v>
      </c>
      <c r="F2399" s="9">
        <v>0</v>
      </c>
      <c r="G2399" s="9">
        <v>1858</v>
      </c>
      <c r="H2399" s="9">
        <v>0</v>
      </c>
      <c r="I2399" s="9">
        <v>1858.07</v>
      </c>
      <c r="J2399" s="9">
        <v>1879.53</v>
      </c>
      <c r="K2399" s="9">
        <v>0</v>
      </c>
    </row>
    <row r="2400" spans="1:11">
      <c r="A2400" s="9">
        <v>20220624</v>
      </c>
      <c r="B2400" s="9">
        <v>20220624</v>
      </c>
      <c r="C2400" s="9" t="s">
        <v>202</v>
      </c>
      <c r="D2400" s="9" t="s">
        <v>3</v>
      </c>
      <c r="E2400" s="9" t="s">
        <v>203</v>
      </c>
      <c r="F2400" s="9">
        <v>5.2</v>
      </c>
      <c r="G2400" s="9">
        <v>9100</v>
      </c>
      <c r="H2400" s="9">
        <v>47320</v>
      </c>
      <c r="I2400" s="9">
        <v>-47329.46</v>
      </c>
      <c r="J2400" s="9">
        <v>5</v>
      </c>
      <c r="K2400" s="9">
        <v>10800</v>
      </c>
    </row>
    <row r="2401" spans="1:11">
      <c r="A2401" s="9">
        <v>20220627</v>
      </c>
      <c r="B2401" s="9">
        <v>20220627</v>
      </c>
      <c r="C2401" s="9" t="s">
        <v>85</v>
      </c>
      <c r="D2401" s="9" t="s">
        <v>83</v>
      </c>
      <c r="E2401" s="9" t="s">
        <v>186</v>
      </c>
      <c r="F2401" s="9">
        <v>0</v>
      </c>
      <c r="G2401" s="9">
        <v>0</v>
      </c>
      <c r="H2401" s="9">
        <v>0</v>
      </c>
      <c r="I2401" s="9">
        <v>-13391.96</v>
      </c>
      <c r="J2401" s="9">
        <v>5</v>
      </c>
      <c r="K2401" s="9">
        <v>0</v>
      </c>
    </row>
    <row r="2402" spans="1:11">
      <c r="A2402" s="9">
        <v>20220627</v>
      </c>
      <c r="B2402" s="9">
        <v>20220627</v>
      </c>
      <c r="C2402" s="9" t="s">
        <v>92</v>
      </c>
      <c r="D2402" s="9" t="s">
        <v>185</v>
      </c>
      <c r="E2402" s="9" t="s">
        <v>185</v>
      </c>
      <c r="F2402" s="9">
        <v>0</v>
      </c>
      <c r="G2402" s="9">
        <v>0</v>
      </c>
      <c r="H2402" s="9">
        <v>0.13</v>
      </c>
      <c r="I2402" s="9">
        <v>-0.13</v>
      </c>
      <c r="J2402" s="9">
        <v>4.87</v>
      </c>
      <c r="K2402" s="9">
        <v>0</v>
      </c>
    </row>
    <row r="2403" spans="1:11">
      <c r="A2403" s="9">
        <v>20220628</v>
      </c>
      <c r="B2403" s="9">
        <v>20220628</v>
      </c>
      <c r="C2403" s="9" t="s">
        <v>86</v>
      </c>
      <c r="D2403" s="9" t="s">
        <v>83</v>
      </c>
      <c r="E2403" s="9" t="s">
        <v>186</v>
      </c>
      <c r="F2403" s="9">
        <v>0</v>
      </c>
      <c r="G2403" s="9">
        <v>0</v>
      </c>
      <c r="H2403" s="9">
        <v>0</v>
      </c>
      <c r="I2403" s="9">
        <v>0.13</v>
      </c>
      <c r="J2403" s="9">
        <v>5</v>
      </c>
      <c r="K2403" s="9">
        <v>0</v>
      </c>
    </row>
    <row r="2404" spans="1:11">
      <c r="A2404" s="9">
        <v>20220628</v>
      </c>
      <c r="B2404" s="9">
        <v>20220628</v>
      </c>
      <c r="C2404" s="9" t="s">
        <v>92</v>
      </c>
      <c r="D2404" s="9" t="s">
        <v>185</v>
      </c>
      <c r="E2404" s="9" t="s">
        <v>185</v>
      </c>
      <c r="F2404" s="9">
        <v>0</v>
      </c>
      <c r="G2404" s="9">
        <v>0</v>
      </c>
      <c r="H2404" s="9">
        <v>0.04</v>
      </c>
      <c r="I2404" s="9">
        <v>-0.04</v>
      </c>
      <c r="J2404" s="9">
        <v>4.96</v>
      </c>
      <c r="K2404" s="9">
        <v>0</v>
      </c>
    </row>
    <row r="2405" spans="1:11">
      <c r="A2405" s="9">
        <v>20220629</v>
      </c>
      <c r="B2405" s="9">
        <v>20220629</v>
      </c>
      <c r="C2405" s="9" t="s">
        <v>86</v>
      </c>
      <c r="D2405" s="9" t="s">
        <v>83</v>
      </c>
      <c r="E2405" s="9" t="s">
        <v>186</v>
      </c>
      <c r="F2405" s="9">
        <v>0</v>
      </c>
      <c r="G2405" s="9">
        <v>0</v>
      </c>
      <c r="H2405" s="9">
        <v>0</v>
      </c>
      <c r="I2405" s="9">
        <v>0.04</v>
      </c>
      <c r="J2405" s="9">
        <v>5</v>
      </c>
      <c r="K2405" s="9">
        <v>0</v>
      </c>
    </row>
    <row r="2406" spans="1:11">
      <c r="A2406" s="9">
        <v>20220629</v>
      </c>
      <c r="B2406" s="9">
        <v>20220629</v>
      </c>
      <c r="C2406" s="9" t="s">
        <v>92</v>
      </c>
      <c r="D2406" s="9" t="s">
        <v>185</v>
      </c>
      <c r="E2406" s="9" t="s">
        <v>185</v>
      </c>
      <c r="F2406" s="9">
        <v>0</v>
      </c>
      <c r="G2406" s="9">
        <v>0</v>
      </c>
      <c r="H2406" s="9">
        <v>0.04</v>
      </c>
      <c r="I2406" s="9">
        <v>-0.04</v>
      </c>
      <c r="J2406" s="9">
        <v>4.96</v>
      </c>
      <c r="K2406" s="9">
        <v>0</v>
      </c>
    </row>
    <row r="2407" spans="1:11">
      <c r="A2407" s="9">
        <v>20220630</v>
      </c>
      <c r="B2407" s="9">
        <v>20220630</v>
      </c>
      <c r="C2407" s="9" t="s">
        <v>86</v>
      </c>
      <c r="D2407" s="9" t="s">
        <v>83</v>
      </c>
      <c r="E2407" s="9" t="s">
        <v>186</v>
      </c>
      <c r="F2407" s="9">
        <v>0</v>
      </c>
      <c r="G2407" s="9">
        <v>0</v>
      </c>
      <c r="H2407" s="9">
        <v>0</v>
      </c>
      <c r="I2407" s="9">
        <v>0.04</v>
      </c>
      <c r="J2407" s="9">
        <v>5</v>
      </c>
      <c r="K2407" s="9">
        <v>0</v>
      </c>
    </row>
    <row r="2408" spans="1:11">
      <c r="A2408" s="9">
        <v>20220630</v>
      </c>
      <c r="B2408" s="9">
        <v>20220630</v>
      </c>
      <c r="C2408" s="9" t="s">
        <v>92</v>
      </c>
      <c r="D2408" s="9" t="s">
        <v>185</v>
      </c>
      <c r="E2408" s="9" t="s">
        <v>185</v>
      </c>
      <c r="F2408" s="9">
        <v>0</v>
      </c>
      <c r="G2408" s="9">
        <v>0</v>
      </c>
      <c r="H2408" s="9">
        <v>0.04</v>
      </c>
      <c r="I2408" s="9">
        <v>-0.04</v>
      </c>
      <c r="J2408" s="9">
        <v>4.96</v>
      </c>
      <c r="K2408" s="9">
        <v>0</v>
      </c>
    </row>
  </sheetData>
  <autoFilter ref="A1:K2408">
    <extLst/>
  </autoFilter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0"/>
  <sheetViews>
    <sheetView topLeftCell="A49" workbookViewId="0">
      <selection activeCell="A1" sqref="A1:K80"/>
    </sheetView>
  </sheetViews>
  <sheetFormatPr defaultColWidth="9" defaultRowHeight="13.5"/>
  <sheetData>
    <row r="1" spans="1:11">
      <c r="A1" s="9">
        <v>20220401</v>
      </c>
      <c r="B1" s="9">
        <v>20220401</v>
      </c>
      <c r="C1" s="9" t="s">
        <v>92</v>
      </c>
      <c r="D1" s="9" t="s">
        <v>185</v>
      </c>
      <c r="E1" s="9" t="s">
        <v>185</v>
      </c>
      <c r="F1" s="9">
        <v>0</v>
      </c>
      <c r="G1" s="9">
        <v>0</v>
      </c>
      <c r="H1" s="9">
        <v>0.05</v>
      </c>
      <c r="I1" s="9">
        <v>-0.05</v>
      </c>
      <c r="J1" s="9">
        <v>19.32</v>
      </c>
      <c r="K1" s="9">
        <v>0</v>
      </c>
    </row>
    <row r="2" spans="1:11">
      <c r="A2" s="9">
        <v>20220406</v>
      </c>
      <c r="B2" s="9">
        <v>20220406</v>
      </c>
      <c r="C2" s="9" t="s">
        <v>92</v>
      </c>
      <c r="D2" s="9" t="s">
        <v>185</v>
      </c>
      <c r="E2" s="9" t="s">
        <v>185</v>
      </c>
      <c r="F2" s="9">
        <v>0</v>
      </c>
      <c r="G2" s="9">
        <v>0</v>
      </c>
      <c r="H2" s="9">
        <v>0.24</v>
      </c>
      <c r="I2" s="9">
        <v>-0.24</v>
      </c>
      <c r="J2" s="9">
        <v>19.08</v>
      </c>
      <c r="K2" s="9">
        <v>0</v>
      </c>
    </row>
    <row r="3" spans="1:11">
      <c r="A3" s="9">
        <v>20220407</v>
      </c>
      <c r="B3" s="9">
        <v>20220407</v>
      </c>
      <c r="C3" s="9" t="s">
        <v>92</v>
      </c>
      <c r="D3" s="9" t="s">
        <v>185</v>
      </c>
      <c r="E3" s="9" t="s">
        <v>185</v>
      </c>
      <c r="F3" s="9">
        <v>0</v>
      </c>
      <c r="G3" s="9">
        <v>0</v>
      </c>
      <c r="H3" s="9">
        <v>0.05</v>
      </c>
      <c r="I3" s="9">
        <v>-0.05</v>
      </c>
      <c r="J3" s="9">
        <v>19.03</v>
      </c>
      <c r="K3" s="9">
        <v>0</v>
      </c>
    </row>
    <row r="4" spans="1:11">
      <c r="A4" s="9">
        <v>20220408</v>
      </c>
      <c r="B4" s="9">
        <v>20220408</v>
      </c>
      <c r="C4" s="9" t="s">
        <v>92</v>
      </c>
      <c r="D4" s="9" t="s">
        <v>185</v>
      </c>
      <c r="E4" s="9" t="s">
        <v>185</v>
      </c>
      <c r="F4" s="9">
        <v>0</v>
      </c>
      <c r="G4" s="9">
        <v>0</v>
      </c>
      <c r="H4" s="9">
        <v>0.05</v>
      </c>
      <c r="I4" s="9">
        <v>-0.05</v>
      </c>
      <c r="J4" s="9">
        <v>18.98</v>
      </c>
      <c r="K4" s="9">
        <v>0</v>
      </c>
    </row>
    <row r="5" spans="1:11">
      <c r="A5" s="9">
        <v>20220411</v>
      </c>
      <c r="B5" s="9">
        <v>20220411</v>
      </c>
      <c r="C5" s="9" t="s">
        <v>92</v>
      </c>
      <c r="D5" s="9" t="s">
        <v>185</v>
      </c>
      <c r="E5" s="9" t="s">
        <v>185</v>
      </c>
      <c r="F5" s="9">
        <v>0</v>
      </c>
      <c r="G5" s="9">
        <v>0</v>
      </c>
      <c r="H5" s="9">
        <v>0.15</v>
      </c>
      <c r="I5" s="9">
        <v>-0.15</v>
      </c>
      <c r="J5" s="9">
        <v>18.83</v>
      </c>
      <c r="K5" s="9">
        <v>0</v>
      </c>
    </row>
    <row r="6" spans="1:11">
      <c r="A6" s="9">
        <v>20220412</v>
      </c>
      <c r="B6" s="9">
        <v>20220412</v>
      </c>
      <c r="C6" s="9" t="s">
        <v>92</v>
      </c>
      <c r="D6" s="9" t="s">
        <v>185</v>
      </c>
      <c r="E6" s="9" t="s">
        <v>185</v>
      </c>
      <c r="F6" s="9">
        <v>0</v>
      </c>
      <c r="G6" s="9">
        <v>0</v>
      </c>
      <c r="H6" s="9">
        <v>0.05</v>
      </c>
      <c r="I6" s="9">
        <v>-0.05</v>
      </c>
      <c r="J6" s="9">
        <v>18.78</v>
      </c>
      <c r="K6" s="9">
        <v>0</v>
      </c>
    </row>
    <row r="7" spans="1:11">
      <c r="A7" s="9">
        <v>20220413</v>
      </c>
      <c r="B7" s="9">
        <v>20220413</v>
      </c>
      <c r="C7" s="9" t="s">
        <v>92</v>
      </c>
      <c r="D7" s="9" t="s">
        <v>185</v>
      </c>
      <c r="E7" s="9" t="s">
        <v>185</v>
      </c>
      <c r="F7" s="9">
        <v>0</v>
      </c>
      <c r="G7" s="9">
        <v>0</v>
      </c>
      <c r="H7" s="9">
        <v>0.05</v>
      </c>
      <c r="I7" s="9">
        <v>-0.05</v>
      </c>
      <c r="J7" s="9">
        <v>18.73</v>
      </c>
      <c r="K7" s="9">
        <v>0</v>
      </c>
    </row>
    <row r="8" spans="1:11">
      <c r="A8" s="9">
        <v>20220414</v>
      </c>
      <c r="B8" s="9">
        <v>20220414</v>
      </c>
      <c r="C8" s="9" t="s">
        <v>92</v>
      </c>
      <c r="D8" s="9" t="s">
        <v>185</v>
      </c>
      <c r="E8" s="9" t="s">
        <v>185</v>
      </c>
      <c r="F8" s="9">
        <v>0</v>
      </c>
      <c r="G8" s="9">
        <v>0</v>
      </c>
      <c r="H8" s="9">
        <v>0.05</v>
      </c>
      <c r="I8" s="9">
        <v>-0.05</v>
      </c>
      <c r="J8" s="9">
        <v>18.68</v>
      </c>
      <c r="K8" s="9">
        <v>0</v>
      </c>
    </row>
    <row r="9" spans="1:11">
      <c r="A9" s="9">
        <v>20220419</v>
      </c>
      <c r="B9" s="9">
        <v>20220419</v>
      </c>
      <c r="C9" s="9" t="s">
        <v>92</v>
      </c>
      <c r="D9" s="9" t="s">
        <v>185</v>
      </c>
      <c r="E9" s="9" t="s">
        <v>185</v>
      </c>
      <c r="F9" s="9">
        <v>0</v>
      </c>
      <c r="G9" s="9">
        <v>0</v>
      </c>
      <c r="H9" s="9">
        <v>0.25</v>
      </c>
      <c r="I9" s="9">
        <v>-0.25</v>
      </c>
      <c r="J9" s="9">
        <v>18.43</v>
      </c>
      <c r="K9" s="9">
        <v>0</v>
      </c>
    </row>
    <row r="10" spans="1:11">
      <c r="A10" s="9">
        <v>20220420</v>
      </c>
      <c r="B10" s="9">
        <v>20220420</v>
      </c>
      <c r="C10" s="9" t="s">
        <v>92</v>
      </c>
      <c r="D10" s="9" t="s">
        <v>185</v>
      </c>
      <c r="E10" s="9" t="s">
        <v>185</v>
      </c>
      <c r="F10" s="9">
        <v>0</v>
      </c>
      <c r="G10" s="9">
        <v>0</v>
      </c>
      <c r="H10" s="9">
        <v>0.05</v>
      </c>
      <c r="I10" s="9">
        <v>-0.05</v>
      </c>
      <c r="J10" s="9">
        <v>18.38</v>
      </c>
      <c r="K10" s="9">
        <v>0</v>
      </c>
    </row>
    <row r="11" spans="1:11">
      <c r="A11" s="9">
        <v>20220421</v>
      </c>
      <c r="B11" s="9">
        <v>20220421</v>
      </c>
      <c r="C11" s="9" t="s">
        <v>92</v>
      </c>
      <c r="D11" s="9" t="s">
        <v>185</v>
      </c>
      <c r="E11" s="9" t="s">
        <v>185</v>
      </c>
      <c r="F11" s="9">
        <v>0</v>
      </c>
      <c r="G11" s="9">
        <v>0</v>
      </c>
      <c r="H11" s="9">
        <v>0.05</v>
      </c>
      <c r="I11" s="9">
        <v>-0.05</v>
      </c>
      <c r="J11" s="9">
        <v>18.33</v>
      </c>
      <c r="K11" s="9">
        <v>0</v>
      </c>
    </row>
    <row r="12" spans="1:11">
      <c r="A12" s="9">
        <v>20220422</v>
      </c>
      <c r="B12" s="9">
        <v>20220422</v>
      </c>
      <c r="C12" s="9" t="s">
        <v>92</v>
      </c>
      <c r="D12" s="9" t="s">
        <v>185</v>
      </c>
      <c r="E12" s="9" t="s">
        <v>185</v>
      </c>
      <c r="F12" s="9">
        <v>0</v>
      </c>
      <c r="G12" s="9">
        <v>0</v>
      </c>
      <c r="H12" s="9">
        <v>0.05</v>
      </c>
      <c r="I12" s="9">
        <v>-0.05</v>
      </c>
      <c r="J12" s="9">
        <v>18.28</v>
      </c>
      <c r="K12" s="9">
        <v>0</v>
      </c>
    </row>
    <row r="13" spans="1:11">
      <c r="A13" s="9">
        <v>20220425</v>
      </c>
      <c r="B13" s="9">
        <v>20220425</v>
      </c>
      <c r="C13" s="9" t="s">
        <v>92</v>
      </c>
      <c r="D13" s="9" t="s">
        <v>185</v>
      </c>
      <c r="E13" s="9" t="s">
        <v>185</v>
      </c>
      <c r="F13" s="9">
        <v>0</v>
      </c>
      <c r="G13" s="9">
        <v>0</v>
      </c>
      <c r="H13" s="9">
        <v>0.15</v>
      </c>
      <c r="I13" s="9">
        <v>-0.15</v>
      </c>
      <c r="J13" s="9">
        <v>18.13</v>
      </c>
      <c r="K13" s="9">
        <v>0</v>
      </c>
    </row>
    <row r="14" spans="1:11">
      <c r="A14" s="9">
        <v>20220426</v>
      </c>
      <c r="B14" s="9">
        <v>20220426</v>
      </c>
      <c r="C14" s="9" t="s">
        <v>92</v>
      </c>
      <c r="D14" s="9" t="s">
        <v>185</v>
      </c>
      <c r="E14" s="9" t="s">
        <v>185</v>
      </c>
      <c r="F14" s="9">
        <v>0</v>
      </c>
      <c r="G14" s="9">
        <v>0</v>
      </c>
      <c r="H14" s="9">
        <v>0.05</v>
      </c>
      <c r="I14" s="9">
        <v>-0.05</v>
      </c>
      <c r="J14" s="9">
        <v>18.08</v>
      </c>
      <c r="K14" s="9">
        <v>0</v>
      </c>
    </row>
    <row r="15" spans="1:11">
      <c r="A15" s="9">
        <v>20220427</v>
      </c>
      <c r="B15" s="9">
        <v>20220427</v>
      </c>
      <c r="C15" s="9" t="s">
        <v>92</v>
      </c>
      <c r="D15" s="9" t="s">
        <v>185</v>
      </c>
      <c r="E15" s="9" t="s">
        <v>185</v>
      </c>
      <c r="F15" s="9">
        <v>0</v>
      </c>
      <c r="G15" s="9">
        <v>0</v>
      </c>
      <c r="H15" s="9">
        <v>0.05</v>
      </c>
      <c r="I15" s="9">
        <v>-0.05</v>
      </c>
      <c r="J15" s="9">
        <v>18.03</v>
      </c>
      <c r="K15" s="9">
        <v>0</v>
      </c>
    </row>
    <row r="16" spans="1:11">
      <c r="A16" s="9">
        <v>20220428</v>
      </c>
      <c r="B16" s="9">
        <v>20220428</v>
      </c>
      <c r="C16" s="9" t="s">
        <v>92</v>
      </c>
      <c r="D16" s="9" t="s">
        <v>185</v>
      </c>
      <c r="E16" s="9" t="s">
        <v>185</v>
      </c>
      <c r="F16" s="9">
        <v>0</v>
      </c>
      <c r="G16" s="9">
        <v>0</v>
      </c>
      <c r="H16" s="9">
        <v>0.05</v>
      </c>
      <c r="I16" s="9">
        <v>-0.05</v>
      </c>
      <c r="J16" s="9">
        <v>17.98</v>
      </c>
      <c r="K16" s="9">
        <v>0</v>
      </c>
    </row>
    <row r="17" spans="1:11">
      <c r="A17" s="9">
        <v>20220429</v>
      </c>
      <c r="B17" s="9">
        <v>20220429</v>
      </c>
      <c r="C17" s="9" t="s">
        <v>92</v>
      </c>
      <c r="D17" s="9" t="s">
        <v>185</v>
      </c>
      <c r="E17" s="9" t="s">
        <v>185</v>
      </c>
      <c r="F17" s="9">
        <v>0</v>
      </c>
      <c r="G17" s="9">
        <v>0</v>
      </c>
      <c r="H17" s="9">
        <v>0.05</v>
      </c>
      <c r="I17" s="9">
        <v>-0.05</v>
      </c>
      <c r="J17" s="9">
        <v>17.93</v>
      </c>
      <c r="K17" s="9">
        <v>0</v>
      </c>
    </row>
    <row r="18" spans="1:11">
      <c r="A18" s="9">
        <v>20220505</v>
      </c>
      <c r="B18" s="9">
        <v>20220505</v>
      </c>
      <c r="C18" s="9" t="s">
        <v>92</v>
      </c>
      <c r="D18" s="9" t="s">
        <v>185</v>
      </c>
      <c r="E18" s="9" t="s">
        <v>185</v>
      </c>
      <c r="F18" s="9">
        <v>0</v>
      </c>
      <c r="G18" s="9">
        <v>0</v>
      </c>
      <c r="H18" s="9">
        <v>0.31</v>
      </c>
      <c r="I18" s="9">
        <v>-0.31</v>
      </c>
      <c r="J18" s="9">
        <v>17.62</v>
      </c>
      <c r="K18" s="9">
        <v>0</v>
      </c>
    </row>
    <row r="19" spans="1:11">
      <c r="A19" s="9">
        <v>20220506</v>
      </c>
      <c r="B19" s="9">
        <v>20220506</v>
      </c>
      <c r="C19" s="9" t="s">
        <v>92</v>
      </c>
      <c r="D19" s="9" t="s">
        <v>185</v>
      </c>
      <c r="E19" s="9" t="s">
        <v>185</v>
      </c>
      <c r="F19" s="9">
        <v>0</v>
      </c>
      <c r="G19" s="9">
        <v>0</v>
      </c>
      <c r="H19" s="9">
        <v>0.05</v>
      </c>
      <c r="I19" s="9">
        <v>-0.05</v>
      </c>
      <c r="J19" s="9">
        <v>17.57</v>
      </c>
      <c r="K19" s="9">
        <v>0</v>
      </c>
    </row>
    <row r="20" spans="1:11">
      <c r="A20" s="9">
        <v>20220510</v>
      </c>
      <c r="B20" s="9">
        <v>20220510</v>
      </c>
      <c r="C20" s="9" t="s">
        <v>92</v>
      </c>
      <c r="D20" s="9" t="s">
        <v>185</v>
      </c>
      <c r="E20" s="9" t="s">
        <v>185</v>
      </c>
      <c r="F20" s="9">
        <v>0</v>
      </c>
      <c r="G20" s="9">
        <v>0</v>
      </c>
      <c r="H20" s="9">
        <v>0.21</v>
      </c>
      <c r="I20" s="9">
        <v>-0.21</v>
      </c>
      <c r="J20" s="9">
        <v>17.36</v>
      </c>
      <c r="K20" s="9">
        <v>0</v>
      </c>
    </row>
    <row r="21" spans="1:11">
      <c r="A21" s="9">
        <v>20220511</v>
      </c>
      <c r="B21" s="9">
        <v>20220511</v>
      </c>
      <c r="C21" s="9" t="s">
        <v>92</v>
      </c>
      <c r="D21" s="9" t="s">
        <v>185</v>
      </c>
      <c r="E21" s="9" t="s">
        <v>185</v>
      </c>
      <c r="F21" s="9">
        <v>0</v>
      </c>
      <c r="G21" s="9">
        <v>0</v>
      </c>
      <c r="H21" s="9">
        <v>0.05</v>
      </c>
      <c r="I21" s="9">
        <v>-0.05</v>
      </c>
      <c r="J21" s="9">
        <v>17.31</v>
      </c>
      <c r="K21" s="9">
        <v>0</v>
      </c>
    </row>
    <row r="22" spans="1:11">
      <c r="A22" s="9">
        <v>20220512</v>
      </c>
      <c r="B22" s="9">
        <v>20220512</v>
      </c>
      <c r="C22" s="9" t="s">
        <v>92</v>
      </c>
      <c r="D22" s="9" t="s">
        <v>185</v>
      </c>
      <c r="E22" s="9" t="s">
        <v>185</v>
      </c>
      <c r="F22" s="9">
        <v>0</v>
      </c>
      <c r="G22" s="9">
        <v>0</v>
      </c>
      <c r="H22" s="9">
        <v>0.05</v>
      </c>
      <c r="I22" s="9">
        <v>-0.05</v>
      </c>
      <c r="J22" s="9">
        <v>17.26</v>
      </c>
      <c r="K22" s="9">
        <v>0</v>
      </c>
    </row>
    <row r="23" spans="1:11">
      <c r="A23" s="9">
        <v>20220513</v>
      </c>
      <c r="B23" s="9">
        <v>20220513</v>
      </c>
      <c r="C23" s="9" t="s">
        <v>92</v>
      </c>
      <c r="D23" s="9" t="s">
        <v>185</v>
      </c>
      <c r="E23" s="9" t="s">
        <v>185</v>
      </c>
      <c r="F23" s="9">
        <v>0</v>
      </c>
      <c r="G23" s="9">
        <v>0</v>
      </c>
      <c r="H23" s="9">
        <v>0.05</v>
      </c>
      <c r="I23" s="9">
        <v>-0.05</v>
      </c>
      <c r="J23" s="9">
        <v>17.21</v>
      </c>
      <c r="K23" s="9">
        <v>0</v>
      </c>
    </row>
    <row r="24" spans="1:11">
      <c r="A24" s="9">
        <v>20220516</v>
      </c>
      <c r="B24" s="9">
        <v>20220516</v>
      </c>
      <c r="C24" s="9" t="s">
        <v>92</v>
      </c>
      <c r="D24" s="9" t="s">
        <v>185</v>
      </c>
      <c r="E24" s="9" t="s">
        <v>185</v>
      </c>
      <c r="F24" s="9">
        <v>0</v>
      </c>
      <c r="G24" s="9">
        <v>0</v>
      </c>
      <c r="H24" s="9">
        <v>0.16</v>
      </c>
      <c r="I24" s="9">
        <v>-0.16</v>
      </c>
      <c r="J24" s="9">
        <v>17.05</v>
      </c>
      <c r="K24" s="9">
        <v>0</v>
      </c>
    </row>
    <row r="25" spans="1:11">
      <c r="A25" s="9">
        <v>20220517</v>
      </c>
      <c r="B25" s="9">
        <v>20220517</v>
      </c>
      <c r="C25" s="9" t="s">
        <v>92</v>
      </c>
      <c r="D25" s="9" t="s">
        <v>185</v>
      </c>
      <c r="E25" s="9" t="s">
        <v>185</v>
      </c>
      <c r="F25" s="9">
        <v>0</v>
      </c>
      <c r="G25" s="9">
        <v>0</v>
      </c>
      <c r="H25" s="9">
        <v>0.05</v>
      </c>
      <c r="I25" s="9">
        <v>-0.05</v>
      </c>
      <c r="J25" s="9">
        <v>17</v>
      </c>
      <c r="K25" s="9">
        <v>0</v>
      </c>
    </row>
    <row r="26" spans="1:11">
      <c r="A26" s="9">
        <v>20220518</v>
      </c>
      <c r="B26" s="9">
        <v>20220518</v>
      </c>
      <c r="C26" s="9" t="s">
        <v>92</v>
      </c>
      <c r="D26" s="9" t="s">
        <v>185</v>
      </c>
      <c r="E26" s="9" t="s">
        <v>185</v>
      </c>
      <c r="F26" s="9">
        <v>0</v>
      </c>
      <c r="G26" s="9">
        <v>0</v>
      </c>
      <c r="H26" s="9">
        <v>0.05</v>
      </c>
      <c r="I26" s="9">
        <v>-0.05</v>
      </c>
      <c r="J26" s="9">
        <v>16.95</v>
      </c>
      <c r="K26" s="9">
        <v>0</v>
      </c>
    </row>
    <row r="27" spans="1:11">
      <c r="A27" s="9">
        <v>20220519</v>
      </c>
      <c r="B27" s="9">
        <v>20220519</v>
      </c>
      <c r="C27" s="9" t="s">
        <v>92</v>
      </c>
      <c r="D27" s="9" t="s">
        <v>185</v>
      </c>
      <c r="E27" s="9" t="s">
        <v>185</v>
      </c>
      <c r="F27" s="9">
        <v>0</v>
      </c>
      <c r="G27" s="9">
        <v>0</v>
      </c>
      <c r="H27" s="9">
        <v>0.05</v>
      </c>
      <c r="I27" s="9">
        <v>-0.05</v>
      </c>
      <c r="J27" s="9">
        <v>16.9</v>
      </c>
      <c r="K27" s="9">
        <v>0</v>
      </c>
    </row>
    <row r="28" spans="1:11">
      <c r="A28" s="9">
        <v>20220520</v>
      </c>
      <c r="B28" s="9">
        <v>20220520</v>
      </c>
      <c r="C28" s="9" t="s">
        <v>92</v>
      </c>
      <c r="D28" s="9" t="s">
        <v>185</v>
      </c>
      <c r="E28" s="9" t="s">
        <v>185</v>
      </c>
      <c r="F28" s="9">
        <v>0</v>
      </c>
      <c r="G28" s="9">
        <v>0</v>
      </c>
      <c r="H28" s="9">
        <v>0.05</v>
      </c>
      <c r="I28" s="9">
        <v>-0.05</v>
      </c>
      <c r="J28" s="9">
        <v>16.85</v>
      </c>
      <c r="K28" s="9">
        <v>0</v>
      </c>
    </row>
    <row r="29" spans="1:11">
      <c r="A29" s="9">
        <v>20220523</v>
      </c>
      <c r="B29" s="9">
        <v>20220523</v>
      </c>
      <c r="C29" s="9" t="s">
        <v>92</v>
      </c>
      <c r="D29" s="9" t="s">
        <v>185</v>
      </c>
      <c r="E29" s="9" t="s">
        <v>185</v>
      </c>
      <c r="F29" s="9">
        <v>0</v>
      </c>
      <c r="G29" s="9">
        <v>0</v>
      </c>
      <c r="H29" s="9">
        <v>0.15</v>
      </c>
      <c r="I29" s="9">
        <v>-0.15</v>
      </c>
      <c r="J29" s="9">
        <v>16.7</v>
      </c>
      <c r="K29" s="9">
        <v>0</v>
      </c>
    </row>
    <row r="30" spans="1:11">
      <c r="A30" s="9">
        <v>20220524</v>
      </c>
      <c r="B30" s="9">
        <v>20220524</v>
      </c>
      <c r="C30" s="9" t="s">
        <v>92</v>
      </c>
      <c r="D30" s="9" t="s">
        <v>185</v>
      </c>
      <c r="E30" s="9" t="s">
        <v>185</v>
      </c>
      <c r="F30" s="9">
        <v>0</v>
      </c>
      <c r="G30" s="9">
        <v>0</v>
      </c>
      <c r="H30" s="9">
        <v>0.05</v>
      </c>
      <c r="I30" s="9">
        <v>-0.05</v>
      </c>
      <c r="J30" s="9">
        <v>16.65</v>
      </c>
      <c r="K30" s="9">
        <v>0</v>
      </c>
    </row>
    <row r="31" spans="1:11">
      <c r="A31" s="9">
        <v>20220525</v>
      </c>
      <c r="B31" s="9">
        <v>20220525</v>
      </c>
      <c r="C31" s="9" t="s">
        <v>92</v>
      </c>
      <c r="D31" s="9" t="s">
        <v>185</v>
      </c>
      <c r="E31" s="9" t="s">
        <v>185</v>
      </c>
      <c r="F31" s="9">
        <v>0</v>
      </c>
      <c r="G31" s="9">
        <v>0</v>
      </c>
      <c r="H31" s="9">
        <v>0.05</v>
      </c>
      <c r="I31" s="9">
        <v>-0.05</v>
      </c>
      <c r="J31" s="9">
        <v>16.6</v>
      </c>
      <c r="K31" s="9">
        <v>0</v>
      </c>
    </row>
    <row r="32" spans="1:11">
      <c r="A32" s="9">
        <v>20220526</v>
      </c>
      <c r="B32" s="9">
        <v>20220526</v>
      </c>
      <c r="C32" s="9" t="s">
        <v>92</v>
      </c>
      <c r="D32" s="9" t="s">
        <v>185</v>
      </c>
      <c r="E32" s="9" t="s">
        <v>185</v>
      </c>
      <c r="F32" s="9">
        <v>0</v>
      </c>
      <c r="G32" s="9">
        <v>0</v>
      </c>
      <c r="H32" s="9">
        <v>0.05</v>
      </c>
      <c r="I32" s="9">
        <v>-0.05</v>
      </c>
      <c r="J32" s="9">
        <v>16.55</v>
      </c>
      <c r="K32" s="9">
        <v>0</v>
      </c>
    </row>
    <row r="33" spans="1:11">
      <c r="A33" s="9">
        <v>20220527</v>
      </c>
      <c r="B33" s="9">
        <v>20220527</v>
      </c>
      <c r="C33" s="9" t="s">
        <v>92</v>
      </c>
      <c r="D33" s="9" t="s">
        <v>185</v>
      </c>
      <c r="E33" s="9" t="s">
        <v>185</v>
      </c>
      <c r="F33" s="9">
        <v>0</v>
      </c>
      <c r="G33" s="9">
        <v>0</v>
      </c>
      <c r="H33" s="9">
        <v>0.05</v>
      </c>
      <c r="I33" s="9">
        <v>-0.05</v>
      </c>
      <c r="J33" s="9">
        <v>16.5</v>
      </c>
      <c r="K33" s="9">
        <v>0</v>
      </c>
    </row>
    <row r="34" spans="1:11">
      <c r="A34" s="9">
        <v>20220530</v>
      </c>
      <c r="B34" s="9">
        <v>20220530</v>
      </c>
      <c r="C34" s="9" t="s">
        <v>92</v>
      </c>
      <c r="D34" s="9" t="s">
        <v>185</v>
      </c>
      <c r="E34" s="9" t="s">
        <v>185</v>
      </c>
      <c r="F34" s="9">
        <v>0</v>
      </c>
      <c r="G34" s="9">
        <v>0</v>
      </c>
      <c r="H34" s="9">
        <v>0.15</v>
      </c>
      <c r="I34" s="9">
        <v>-0.15</v>
      </c>
      <c r="J34" s="9">
        <v>16.35</v>
      </c>
      <c r="K34" s="9">
        <v>0</v>
      </c>
    </row>
    <row r="35" spans="1:11">
      <c r="A35" s="9">
        <v>20220531</v>
      </c>
      <c r="B35" s="9">
        <v>20220531</v>
      </c>
      <c r="C35" s="9" t="s">
        <v>92</v>
      </c>
      <c r="D35" s="9" t="s">
        <v>185</v>
      </c>
      <c r="E35" s="9" t="s">
        <v>185</v>
      </c>
      <c r="F35" s="9">
        <v>0</v>
      </c>
      <c r="G35" s="9">
        <v>0</v>
      </c>
      <c r="H35" s="9">
        <v>0.05</v>
      </c>
      <c r="I35" s="9">
        <v>-0.05</v>
      </c>
      <c r="J35" s="9">
        <v>16.3</v>
      </c>
      <c r="K35" s="9">
        <v>0</v>
      </c>
    </row>
    <row r="36" spans="1:11">
      <c r="A36" s="9">
        <v>20220601</v>
      </c>
      <c r="B36" s="9">
        <v>20220601</v>
      </c>
      <c r="C36" s="9" t="s">
        <v>92</v>
      </c>
      <c r="D36" s="9" t="s">
        <v>185</v>
      </c>
      <c r="E36" s="9" t="s">
        <v>185</v>
      </c>
      <c r="F36" s="9">
        <v>0</v>
      </c>
      <c r="G36" s="9">
        <v>0</v>
      </c>
      <c r="H36" s="9">
        <v>0.05</v>
      </c>
      <c r="I36" s="9">
        <v>-0.05</v>
      </c>
      <c r="J36" s="9">
        <v>16.25</v>
      </c>
      <c r="K36" s="9">
        <v>0</v>
      </c>
    </row>
    <row r="37" spans="1:11">
      <c r="A37" s="9">
        <v>20220602</v>
      </c>
      <c r="B37" s="9">
        <v>20220602</v>
      </c>
      <c r="C37" s="9" t="s">
        <v>92</v>
      </c>
      <c r="D37" s="9" t="s">
        <v>185</v>
      </c>
      <c r="E37" s="9" t="s">
        <v>185</v>
      </c>
      <c r="F37" s="9">
        <v>0</v>
      </c>
      <c r="G37" s="9">
        <v>0</v>
      </c>
      <c r="H37" s="9">
        <v>0.05</v>
      </c>
      <c r="I37" s="9">
        <v>-0.05</v>
      </c>
      <c r="J37" s="9">
        <v>16.2</v>
      </c>
      <c r="K37" s="9">
        <v>0</v>
      </c>
    </row>
    <row r="38" spans="1:11">
      <c r="A38" s="9">
        <v>20220606</v>
      </c>
      <c r="B38" s="9">
        <v>20220606</v>
      </c>
      <c r="C38" s="9" t="s">
        <v>92</v>
      </c>
      <c r="D38" s="9" t="s">
        <v>185</v>
      </c>
      <c r="E38" s="9" t="s">
        <v>185</v>
      </c>
      <c r="F38" s="9">
        <v>0</v>
      </c>
      <c r="G38" s="9">
        <v>0</v>
      </c>
      <c r="H38" s="9">
        <v>0.2</v>
      </c>
      <c r="I38" s="9">
        <v>-0.2</v>
      </c>
      <c r="J38" s="9">
        <v>16</v>
      </c>
      <c r="K38" s="9">
        <v>0</v>
      </c>
    </row>
    <row r="39" spans="1:11">
      <c r="A39" s="9">
        <v>20220607</v>
      </c>
      <c r="B39" s="9">
        <v>20220607</v>
      </c>
      <c r="C39" s="9" t="s">
        <v>92</v>
      </c>
      <c r="D39" s="9" t="s">
        <v>185</v>
      </c>
      <c r="E39" s="9" t="s">
        <v>185</v>
      </c>
      <c r="F39" s="9">
        <v>0</v>
      </c>
      <c r="G39" s="9">
        <v>0</v>
      </c>
      <c r="H39" s="9">
        <v>0.05</v>
      </c>
      <c r="I39" s="9">
        <v>-0.05</v>
      </c>
      <c r="J39" s="9">
        <v>15.95</v>
      </c>
      <c r="K39" s="9">
        <v>0</v>
      </c>
    </row>
    <row r="40" spans="1:11">
      <c r="A40" s="9">
        <v>20220608</v>
      </c>
      <c r="B40" s="9">
        <v>20220608</v>
      </c>
      <c r="C40" s="9" t="s">
        <v>92</v>
      </c>
      <c r="D40" s="9" t="s">
        <v>185</v>
      </c>
      <c r="E40" s="9" t="s">
        <v>185</v>
      </c>
      <c r="F40" s="9">
        <v>0</v>
      </c>
      <c r="G40" s="9">
        <v>0</v>
      </c>
      <c r="H40" s="9">
        <v>0.05</v>
      </c>
      <c r="I40" s="9">
        <v>-0.05</v>
      </c>
      <c r="J40" s="9">
        <v>15.9</v>
      </c>
      <c r="K40" s="9">
        <v>0</v>
      </c>
    </row>
    <row r="41" spans="1:11">
      <c r="A41" s="9">
        <v>20220609</v>
      </c>
      <c r="B41" s="9">
        <v>20220609</v>
      </c>
      <c r="C41" s="9" t="s">
        <v>92</v>
      </c>
      <c r="D41" s="9" t="s">
        <v>185</v>
      </c>
      <c r="E41" s="9" t="s">
        <v>185</v>
      </c>
      <c r="F41" s="9">
        <v>0</v>
      </c>
      <c r="G41" s="9">
        <v>0</v>
      </c>
      <c r="H41" s="9">
        <v>0.05</v>
      </c>
      <c r="I41" s="9">
        <v>-0.05</v>
      </c>
      <c r="J41" s="9">
        <v>15.85</v>
      </c>
      <c r="K41" s="9">
        <v>0</v>
      </c>
    </row>
    <row r="42" spans="1:11">
      <c r="A42" s="9">
        <v>20220610</v>
      </c>
      <c r="B42" s="9">
        <v>20220610</v>
      </c>
      <c r="C42" s="9" t="s">
        <v>92</v>
      </c>
      <c r="D42" s="9" t="s">
        <v>185</v>
      </c>
      <c r="E42" s="9" t="s">
        <v>185</v>
      </c>
      <c r="F42" s="9">
        <v>0</v>
      </c>
      <c r="G42" s="9">
        <v>0</v>
      </c>
      <c r="H42" s="9">
        <v>0.05</v>
      </c>
      <c r="I42" s="9">
        <v>-0.05</v>
      </c>
      <c r="J42" s="9">
        <v>15.8</v>
      </c>
      <c r="K42" s="9">
        <v>0</v>
      </c>
    </row>
    <row r="43" spans="1:11">
      <c r="A43" s="9">
        <v>20220613</v>
      </c>
      <c r="B43" s="9">
        <v>20220613</v>
      </c>
      <c r="C43" s="9" t="s">
        <v>92</v>
      </c>
      <c r="D43" s="9" t="s">
        <v>185</v>
      </c>
      <c r="E43" s="9" t="s">
        <v>185</v>
      </c>
      <c r="F43" s="9">
        <v>0</v>
      </c>
      <c r="G43" s="9">
        <v>0</v>
      </c>
      <c r="H43" s="9">
        <v>0.15</v>
      </c>
      <c r="I43" s="9">
        <v>-0.15</v>
      </c>
      <c r="J43" s="9">
        <v>15.65</v>
      </c>
      <c r="K43" s="9">
        <v>0</v>
      </c>
    </row>
    <row r="44" spans="1:11">
      <c r="A44" s="9">
        <v>20220614</v>
      </c>
      <c r="B44" s="9">
        <v>20220614</v>
      </c>
      <c r="C44" s="9" t="s">
        <v>92</v>
      </c>
      <c r="D44" s="9" t="s">
        <v>185</v>
      </c>
      <c r="E44" s="9" t="s">
        <v>185</v>
      </c>
      <c r="F44" s="9">
        <v>0</v>
      </c>
      <c r="G44" s="9">
        <v>0</v>
      </c>
      <c r="H44" s="9">
        <v>0.05</v>
      </c>
      <c r="I44" s="9">
        <v>-0.05</v>
      </c>
      <c r="J44" s="9">
        <v>15.6</v>
      </c>
      <c r="K44" s="9">
        <v>0</v>
      </c>
    </row>
    <row r="45" spans="1:11">
      <c r="A45" s="9">
        <v>20220615</v>
      </c>
      <c r="B45" s="9">
        <v>20220615</v>
      </c>
      <c r="C45" s="9" t="s">
        <v>92</v>
      </c>
      <c r="D45" s="9" t="s">
        <v>185</v>
      </c>
      <c r="E45" s="9" t="s">
        <v>185</v>
      </c>
      <c r="F45" s="9">
        <v>0</v>
      </c>
      <c r="G45" s="9">
        <v>0</v>
      </c>
      <c r="H45" s="9">
        <v>0.05</v>
      </c>
      <c r="I45" s="9">
        <v>-0.05</v>
      </c>
      <c r="J45" s="9">
        <v>15.55</v>
      </c>
      <c r="K45" s="9">
        <v>0</v>
      </c>
    </row>
    <row r="46" spans="1:11">
      <c r="A46" s="9">
        <v>20220616</v>
      </c>
      <c r="B46" s="9">
        <v>20220616</v>
      </c>
      <c r="C46" s="9" t="s">
        <v>92</v>
      </c>
      <c r="D46" s="9" t="s">
        <v>185</v>
      </c>
      <c r="E46" s="9" t="s">
        <v>185</v>
      </c>
      <c r="F46" s="9">
        <v>0</v>
      </c>
      <c r="G46" s="9">
        <v>0</v>
      </c>
      <c r="H46" s="9">
        <v>0.05</v>
      </c>
      <c r="I46" s="9">
        <v>-0.05</v>
      </c>
      <c r="J46" s="9">
        <v>15.5</v>
      </c>
      <c r="K46" s="9">
        <v>0</v>
      </c>
    </row>
    <row r="47" spans="1:11">
      <c r="A47" s="9">
        <v>20220617</v>
      </c>
      <c r="B47" s="9">
        <v>20220617</v>
      </c>
      <c r="C47" s="9" t="s">
        <v>92</v>
      </c>
      <c r="D47" s="9" t="s">
        <v>185</v>
      </c>
      <c r="E47" s="9" t="s">
        <v>185</v>
      </c>
      <c r="F47" s="9">
        <v>0</v>
      </c>
      <c r="G47" s="9">
        <v>0</v>
      </c>
      <c r="H47" s="9">
        <v>0.04</v>
      </c>
      <c r="I47" s="9">
        <v>-0.04</v>
      </c>
      <c r="J47" s="9">
        <v>4.96</v>
      </c>
      <c r="K47" s="9">
        <v>0</v>
      </c>
    </row>
    <row r="48" spans="1:11">
      <c r="A48" s="9">
        <v>20220617</v>
      </c>
      <c r="B48" s="9">
        <v>20220617</v>
      </c>
      <c r="C48" s="9" t="s">
        <v>90</v>
      </c>
      <c r="D48" s="9" t="s">
        <v>185</v>
      </c>
      <c r="E48" s="9" t="s">
        <v>185</v>
      </c>
      <c r="F48" s="9">
        <v>0</v>
      </c>
      <c r="G48" s="9">
        <v>0</v>
      </c>
      <c r="H48" s="9">
        <v>0</v>
      </c>
      <c r="I48" s="9">
        <v>26000</v>
      </c>
      <c r="J48" s="9">
        <v>26015.5</v>
      </c>
      <c r="K48" s="9">
        <v>0</v>
      </c>
    </row>
    <row r="49" spans="1:11">
      <c r="A49" s="9">
        <v>20220617</v>
      </c>
      <c r="B49" s="9">
        <v>20220617</v>
      </c>
      <c r="C49" s="9" t="s">
        <v>86</v>
      </c>
      <c r="D49" s="9" t="s">
        <v>83</v>
      </c>
      <c r="E49" s="9" t="s">
        <v>186</v>
      </c>
      <c r="F49" s="9">
        <v>0</v>
      </c>
      <c r="G49" s="9">
        <v>4019</v>
      </c>
      <c r="H49" s="9">
        <v>0</v>
      </c>
      <c r="I49" s="9">
        <v>4019.5</v>
      </c>
      <c r="J49" s="9">
        <v>30035</v>
      </c>
      <c r="K49" s="9">
        <v>0</v>
      </c>
    </row>
    <row r="50" spans="1:11">
      <c r="A50" s="9">
        <v>20220617</v>
      </c>
      <c r="B50" s="9">
        <v>20220615</v>
      </c>
      <c r="C50" s="9" t="s">
        <v>187</v>
      </c>
      <c r="D50" s="9" t="s">
        <v>104</v>
      </c>
      <c r="E50" s="9" t="s">
        <v>193</v>
      </c>
      <c r="F50" s="9">
        <v>60.06</v>
      </c>
      <c r="G50" s="9">
        <v>500</v>
      </c>
      <c r="H50" s="9">
        <v>30030</v>
      </c>
      <c r="I50" s="9">
        <v>-30030</v>
      </c>
      <c r="J50" s="9">
        <v>5</v>
      </c>
      <c r="K50" s="9">
        <v>0</v>
      </c>
    </row>
    <row r="51" spans="1:11">
      <c r="A51" s="9">
        <v>20220620</v>
      </c>
      <c r="B51" s="9">
        <v>20220620</v>
      </c>
      <c r="C51" s="9" t="s">
        <v>92</v>
      </c>
      <c r="D51" s="9" t="s">
        <v>185</v>
      </c>
      <c r="E51" s="9" t="s">
        <v>185</v>
      </c>
      <c r="F51" s="9">
        <v>0</v>
      </c>
      <c r="G51" s="9">
        <v>0</v>
      </c>
      <c r="H51" s="9">
        <v>0.13</v>
      </c>
      <c r="I51" s="9">
        <v>-0.13</v>
      </c>
      <c r="J51" s="9">
        <v>4.88</v>
      </c>
      <c r="K51" s="9">
        <v>0</v>
      </c>
    </row>
    <row r="52" spans="1:11">
      <c r="A52" s="9">
        <v>20220620</v>
      </c>
      <c r="B52" s="9">
        <v>20220620</v>
      </c>
      <c r="C52" s="9" t="s">
        <v>89</v>
      </c>
      <c r="D52" s="9" t="s">
        <v>185</v>
      </c>
      <c r="E52" s="9" t="s">
        <v>185</v>
      </c>
      <c r="F52" s="9">
        <v>0</v>
      </c>
      <c r="G52" s="9">
        <v>0</v>
      </c>
      <c r="H52" s="9">
        <v>0</v>
      </c>
      <c r="I52" s="9">
        <v>0.01</v>
      </c>
      <c r="J52" s="9">
        <v>4.97</v>
      </c>
      <c r="K52" s="9">
        <v>0</v>
      </c>
    </row>
    <row r="53" spans="1:11">
      <c r="A53" s="9">
        <v>20220620</v>
      </c>
      <c r="B53" s="9">
        <v>20220620</v>
      </c>
      <c r="C53" s="9" t="s">
        <v>86</v>
      </c>
      <c r="D53" s="9" t="s">
        <v>83</v>
      </c>
      <c r="E53" s="9" t="s">
        <v>186</v>
      </c>
      <c r="F53" s="9">
        <v>0</v>
      </c>
      <c r="G53" s="9">
        <v>0</v>
      </c>
      <c r="H53" s="9">
        <v>0</v>
      </c>
      <c r="I53" s="9">
        <v>0.04</v>
      </c>
      <c r="J53" s="9">
        <v>5.01</v>
      </c>
      <c r="K53" s="9">
        <v>0</v>
      </c>
    </row>
    <row r="54" spans="1:11">
      <c r="A54" s="9">
        <v>20220620</v>
      </c>
      <c r="B54" s="9">
        <v>20220615</v>
      </c>
      <c r="C54" s="9" t="s">
        <v>189</v>
      </c>
      <c r="D54" s="9" t="s">
        <v>104</v>
      </c>
      <c r="E54" s="9" t="s">
        <v>193</v>
      </c>
      <c r="F54" s="9">
        <v>60.06</v>
      </c>
      <c r="G54" s="9">
        <v>500</v>
      </c>
      <c r="H54" s="9">
        <v>30030</v>
      </c>
      <c r="I54" s="9">
        <v>0</v>
      </c>
      <c r="J54" s="9">
        <v>5.01</v>
      </c>
      <c r="K54" s="9">
        <v>500</v>
      </c>
    </row>
    <row r="55" spans="1:11">
      <c r="A55" s="9">
        <v>20220621</v>
      </c>
      <c r="B55" s="9">
        <v>20220621</v>
      </c>
      <c r="C55" s="9" t="s">
        <v>85</v>
      </c>
      <c r="D55" s="9" t="s">
        <v>83</v>
      </c>
      <c r="E55" s="9" t="s">
        <v>186</v>
      </c>
      <c r="F55" s="9">
        <v>0</v>
      </c>
      <c r="G55" s="9">
        <v>0</v>
      </c>
      <c r="H55" s="9">
        <v>0</v>
      </c>
      <c r="I55" s="9">
        <v>-31117.07</v>
      </c>
      <c r="J55" s="9">
        <v>-31112.19</v>
      </c>
      <c r="K55" s="9">
        <v>0</v>
      </c>
    </row>
    <row r="56" spans="1:11">
      <c r="A56" s="9">
        <v>20220621</v>
      </c>
      <c r="B56" s="9">
        <v>20220621</v>
      </c>
      <c r="C56" s="9" t="s">
        <v>92</v>
      </c>
      <c r="D56" s="9" t="s">
        <v>185</v>
      </c>
      <c r="E56" s="9" t="s">
        <v>185</v>
      </c>
      <c r="F56" s="9">
        <v>0</v>
      </c>
      <c r="G56" s="9">
        <v>0</v>
      </c>
      <c r="H56" s="9">
        <v>0.04</v>
      </c>
      <c r="I56" s="9">
        <v>-0.04</v>
      </c>
      <c r="J56" s="9">
        <v>4.96</v>
      </c>
      <c r="K56" s="9">
        <v>0</v>
      </c>
    </row>
    <row r="57" spans="1:11">
      <c r="A57" s="9">
        <v>20220621</v>
      </c>
      <c r="B57" s="9">
        <v>20220617</v>
      </c>
      <c r="C57" s="9" t="s">
        <v>194</v>
      </c>
      <c r="D57" s="9">
        <v>1099</v>
      </c>
      <c r="E57" s="9" t="s">
        <v>195</v>
      </c>
      <c r="F57" s="9">
        <v>15.59</v>
      </c>
      <c r="G57" s="9">
        <v>2000</v>
      </c>
      <c r="H57" s="9">
        <v>31178.43</v>
      </c>
      <c r="I57" s="9">
        <v>31117.19</v>
      </c>
      <c r="J57" s="9">
        <v>5</v>
      </c>
      <c r="K57" s="9">
        <v>0</v>
      </c>
    </row>
    <row r="58" spans="1:11">
      <c r="A58" s="9">
        <v>20220622</v>
      </c>
      <c r="B58" s="9">
        <v>20220622</v>
      </c>
      <c r="C58" s="9" t="s">
        <v>92</v>
      </c>
      <c r="D58" s="9" t="s">
        <v>185</v>
      </c>
      <c r="E58" s="9" t="s">
        <v>185</v>
      </c>
      <c r="F58" s="9">
        <v>0</v>
      </c>
      <c r="G58" s="9">
        <v>0</v>
      </c>
      <c r="H58" s="9">
        <v>0.04</v>
      </c>
      <c r="I58" s="9">
        <v>-0.04</v>
      </c>
      <c r="J58" s="9">
        <v>21.5</v>
      </c>
      <c r="K58" s="9">
        <v>0</v>
      </c>
    </row>
    <row r="59" spans="1:11">
      <c r="A59" s="9">
        <v>20220622</v>
      </c>
      <c r="B59" s="9">
        <v>0</v>
      </c>
      <c r="C59" s="9" t="s">
        <v>84</v>
      </c>
      <c r="D59" s="9" t="s">
        <v>83</v>
      </c>
      <c r="E59" s="9" t="s">
        <v>186</v>
      </c>
      <c r="F59" s="9">
        <v>0</v>
      </c>
      <c r="G59" s="9">
        <v>0</v>
      </c>
      <c r="H59" s="9">
        <v>16.54</v>
      </c>
      <c r="I59" s="9">
        <v>16.54</v>
      </c>
      <c r="J59" s="9">
        <v>21.54</v>
      </c>
      <c r="K59" s="9">
        <v>0</v>
      </c>
    </row>
    <row r="60" spans="1:11">
      <c r="A60" s="9">
        <v>20220622</v>
      </c>
      <c r="B60" s="9">
        <v>20220622</v>
      </c>
      <c r="C60" s="9" t="s">
        <v>86</v>
      </c>
      <c r="D60" s="9" t="s">
        <v>83</v>
      </c>
      <c r="E60" s="9" t="s">
        <v>186</v>
      </c>
      <c r="F60" s="9">
        <v>0</v>
      </c>
      <c r="G60" s="9">
        <v>0</v>
      </c>
      <c r="H60" s="9">
        <v>0</v>
      </c>
      <c r="I60" s="9">
        <v>0.04</v>
      </c>
      <c r="J60" s="9">
        <v>5</v>
      </c>
      <c r="K60" s="9">
        <v>0</v>
      </c>
    </row>
    <row r="61" spans="1:11">
      <c r="A61" s="9">
        <v>20220623</v>
      </c>
      <c r="B61" s="9">
        <v>20220623</v>
      </c>
      <c r="C61" s="9" t="s">
        <v>196</v>
      </c>
      <c r="D61" s="9" t="s">
        <v>26</v>
      </c>
      <c r="E61" s="9" t="s">
        <v>197</v>
      </c>
      <c r="F61" s="9">
        <v>0</v>
      </c>
      <c r="G61" s="9">
        <v>0</v>
      </c>
      <c r="H61" s="9">
        <v>30000</v>
      </c>
      <c r="I61" s="9">
        <v>30000</v>
      </c>
      <c r="J61" s="9">
        <v>30021.5</v>
      </c>
      <c r="K61" s="9">
        <v>0</v>
      </c>
    </row>
    <row r="62" spans="1:11">
      <c r="A62" s="9">
        <v>20220623</v>
      </c>
      <c r="B62" s="9">
        <v>20220623</v>
      </c>
      <c r="C62" s="9" t="s">
        <v>87</v>
      </c>
      <c r="D62" s="9" t="s">
        <v>83</v>
      </c>
      <c r="E62" s="9" t="s">
        <v>186</v>
      </c>
      <c r="F62" s="9">
        <v>0</v>
      </c>
      <c r="G62" s="9">
        <v>30000</v>
      </c>
      <c r="H62" s="9">
        <v>30000</v>
      </c>
      <c r="I62" s="9">
        <v>30000</v>
      </c>
      <c r="J62" s="9">
        <v>30021.5</v>
      </c>
      <c r="K62" s="9">
        <v>0</v>
      </c>
    </row>
    <row r="63" spans="1:11">
      <c r="A63" s="9">
        <v>20220623</v>
      </c>
      <c r="B63" s="9">
        <v>20220615</v>
      </c>
      <c r="C63" s="9" t="s">
        <v>191</v>
      </c>
      <c r="D63" s="9" t="s">
        <v>104</v>
      </c>
      <c r="E63" s="9" t="s">
        <v>198</v>
      </c>
      <c r="F63" s="9">
        <v>60.06</v>
      </c>
      <c r="G63" s="9">
        <v>500</v>
      </c>
      <c r="H63" s="9">
        <v>30030</v>
      </c>
      <c r="I63" s="9">
        <v>0</v>
      </c>
      <c r="J63" s="9">
        <v>30021.5</v>
      </c>
      <c r="K63" s="9">
        <v>0</v>
      </c>
    </row>
    <row r="64" spans="1:11">
      <c r="A64" s="9">
        <v>20220623</v>
      </c>
      <c r="B64" s="9">
        <v>20220615</v>
      </c>
      <c r="C64" s="9" t="s">
        <v>190</v>
      </c>
      <c r="D64" s="9" t="s">
        <v>105</v>
      </c>
      <c r="E64" s="9" t="s">
        <v>198</v>
      </c>
      <c r="F64" s="9">
        <v>60.06</v>
      </c>
      <c r="G64" s="9">
        <v>500</v>
      </c>
      <c r="H64" s="9">
        <v>0</v>
      </c>
      <c r="I64" s="9">
        <v>0</v>
      </c>
      <c r="J64" s="9">
        <v>30021.5</v>
      </c>
      <c r="K64" s="9">
        <v>500</v>
      </c>
    </row>
    <row r="65" spans="1:11">
      <c r="A65" s="9">
        <v>20220623</v>
      </c>
      <c r="B65" s="9">
        <v>20220623</v>
      </c>
      <c r="C65" s="9" t="s">
        <v>196</v>
      </c>
      <c r="D65" s="9" t="s">
        <v>26</v>
      </c>
      <c r="E65" s="9" t="s">
        <v>197</v>
      </c>
      <c r="F65" s="9">
        <v>0</v>
      </c>
      <c r="G65" s="9">
        <v>0</v>
      </c>
      <c r="H65" s="9">
        <v>0</v>
      </c>
      <c r="I65" s="9">
        <v>-30000</v>
      </c>
      <c r="J65" s="9">
        <v>21.5</v>
      </c>
      <c r="K65" s="9">
        <v>0</v>
      </c>
    </row>
    <row r="66" spans="1:11">
      <c r="A66" s="9">
        <v>20220623</v>
      </c>
      <c r="B66" s="9">
        <v>20220623</v>
      </c>
      <c r="C66" s="9" t="s">
        <v>92</v>
      </c>
      <c r="D66" s="9" t="s">
        <v>185</v>
      </c>
      <c r="E66" s="9" t="s">
        <v>185</v>
      </c>
      <c r="F66" s="9">
        <v>0</v>
      </c>
      <c r="G66" s="9">
        <v>0</v>
      </c>
      <c r="H66" s="9">
        <v>0.04</v>
      </c>
      <c r="I66" s="9">
        <v>-0.04</v>
      </c>
      <c r="J66" s="9">
        <v>21.46</v>
      </c>
      <c r="K66" s="9">
        <v>0</v>
      </c>
    </row>
    <row r="67" spans="1:11">
      <c r="A67" s="9">
        <v>20220623</v>
      </c>
      <c r="B67" s="9">
        <v>20220623</v>
      </c>
      <c r="C67" s="9" t="s">
        <v>91</v>
      </c>
      <c r="D67" s="9" t="s">
        <v>185</v>
      </c>
      <c r="E67" s="9" t="s">
        <v>185</v>
      </c>
      <c r="F67" s="9">
        <v>0</v>
      </c>
      <c r="G67" s="9">
        <v>0</v>
      </c>
      <c r="H67" s="9">
        <v>0</v>
      </c>
      <c r="I67" s="9">
        <v>-30000</v>
      </c>
      <c r="J67" s="9">
        <v>21.5</v>
      </c>
      <c r="K67" s="9">
        <v>0</v>
      </c>
    </row>
    <row r="68" spans="1:11">
      <c r="A68" s="9">
        <v>20220624</v>
      </c>
      <c r="B68" s="9">
        <v>20220624</v>
      </c>
      <c r="C68" s="9" t="s">
        <v>92</v>
      </c>
      <c r="D68" s="9" t="s">
        <v>185</v>
      </c>
      <c r="E68" s="9" t="s">
        <v>185</v>
      </c>
      <c r="F68" s="9">
        <v>0</v>
      </c>
      <c r="G68" s="9">
        <v>0</v>
      </c>
      <c r="H68" s="9">
        <v>0.04</v>
      </c>
      <c r="I68" s="9">
        <v>-0.04</v>
      </c>
      <c r="J68" s="9">
        <v>13396.96</v>
      </c>
      <c r="K68" s="9">
        <v>0</v>
      </c>
    </row>
    <row r="69" spans="1:11">
      <c r="A69" s="9">
        <v>20220624</v>
      </c>
      <c r="B69" s="9">
        <v>20220624</v>
      </c>
      <c r="C69" s="9" t="s">
        <v>199</v>
      </c>
      <c r="D69" s="9">
        <v>386</v>
      </c>
      <c r="E69" s="9" t="s">
        <v>200</v>
      </c>
      <c r="F69" s="9">
        <v>0.25</v>
      </c>
      <c r="G69" s="9">
        <v>54000</v>
      </c>
      <c r="H69" s="9">
        <v>13392</v>
      </c>
      <c r="I69" s="9">
        <v>13392</v>
      </c>
      <c r="J69" s="9">
        <v>13397</v>
      </c>
      <c r="K69" s="9">
        <v>54000</v>
      </c>
    </row>
    <row r="70" spans="1:11">
      <c r="A70" s="9">
        <v>20220624</v>
      </c>
      <c r="B70" s="9">
        <v>20220624</v>
      </c>
      <c r="C70" s="9" t="s">
        <v>192</v>
      </c>
      <c r="D70" s="9" t="s">
        <v>105</v>
      </c>
      <c r="E70" s="9" t="s">
        <v>201</v>
      </c>
      <c r="F70" s="9">
        <v>91.02</v>
      </c>
      <c r="G70" s="9">
        <v>500</v>
      </c>
      <c r="H70" s="9">
        <v>45510</v>
      </c>
      <c r="I70" s="9">
        <v>45454.93</v>
      </c>
      <c r="J70" s="9">
        <v>47334.46</v>
      </c>
      <c r="K70" s="9">
        <v>0</v>
      </c>
    </row>
    <row r="71" spans="1:11">
      <c r="A71" s="9">
        <v>20220624</v>
      </c>
      <c r="B71" s="9">
        <v>20220624</v>
      </c>
      <c r="C71" s="9" t="s">
        <v>86</v>
      </c>
      <c r="D71" s="9" t="s">
        <v>83</v>
      </c>
      <c r="E71" s="9" t="s">
        <v>186</v>
      </c>
      <c r="F71" s="9">
        <v>0</v>
      </c>
      <c r="G71" s="9">
        <v>1858</v>
      </c>
      <c r="H71" s="9">
        <v>0</v>
      </c>
      <c r="I71" s="9">
        <v>1858.07</v>
      </c>
      <c r="J71" s="9">
        <v>1879.53</v>
      </c>
      <c r="K71" s="9">
        <v>0</v>
      </c>
    </row>
    <row r="72" spans="1:11">
      <c r="A72" s="9">
        <v>20220624</v>
      </c>
      <c r="B72" s="9">
        <v>20220624</v>
      </c>
      <c r="C72" s="9" t="s">
        <v>202</v>
      </c>
      <c r="D72" s="9" t="s">
        <v>3</v>
      </c>
      <c r="E72" s="9" t="s">
        <v>203</v>
      </c>
      <c r="F72" s="9">
        <v>5.2</v>
      </c>
      <c r="G72" s="9">
        <v>9100</v>
      </c>
      <c r="H72" s="9">
        <v>47320</v>
      </c>
      <c r="I72" s="9">
        <v>-47329.46</v>
      </c>
      <c r="J72" s="9">
        <v>5</v>
      </c>
      <c r="K72" s="9">
        <v>10800</v>
      </c>
    </row>
    <row r="73" spans="1:11">
      <c r="A73" s="9">
        <v>20220627</v>
      </c>
      <c r="B73" s="9">
        <v>20220627</v>
      </c>
      <c r="C73" s="9" t="s">
        <v>85</v>
      </c>
      <c r="D73" s="9" t="s">
        <v>83</v>
      </c>
      <c r="E73" s="9" t="s">
        <v>186</v>
      </c>
      <c r="F73" s="9">
        <v>0</v>
      </c>
      <c r="G73" s="9">
        <v>0</v>
      </c>
      <c r="H73" s="9">
        <v>0</v>
      </c>
      <c r="I73" s="9">
        <v>-13391.96</v>
      </c>
      <c r="J73" s="9">
        <v>5</v>
      </c>
      <c r="K73" s="9">
        <v>0</v>
      </c>
    </row>
    <row r="74" spans="1:11">
      <c r="A74" s="9">
        <v>20220627</v>
      </c>
      <c r="B74" s="9">
        <v>20220627</v>
      </c>
      <c r="C74" s="9" t="s">
        <v>92</v>
      </c>
      <c r="D74" s="9" t="s">
        <v>185</v>
      </c>
      <c r="E74" s="9" t="s">
        <v>185</v>
      </c>
      <c r="F74" s="9">
        <v>0</v>
      </c>
      <c r="G74" s="9">
        <v>0</v>
      </c>
      <c r="H74" s="9">
        <v>0.13</v>
      </c>
      <c r="I74" s="9">
        <v>-0.13</v>
      </c>
      <c r="J74" s="9">
        <v>4.87</v>
      </c>
      <c r="K74" s="9">
        <v>0</v>
      </c>
    </row>
    <row r="75" spans="1:11">
      <c r="A75" s="9">
        <v>20220628</v>
      </c>
      <c r="B75" s="9">
        <v>20220628</v>
      </c>
      <c r="C75" s="9" t="s">
        <v>86</v>
      </c>
      <c r="D75" s="9" t="s">
        <v>83</v>
      </c>
      <c r="E75" s="9" t="s">
        <v>186</v>
      </c>
      <c r="F75" s="9">
        <v>0</v>
      </c>
      <c r="G75" s="9">
        <v>0</v>
      </c>
      <c r="H75" s="9">
        <v>0</v>
      </c>
      <c r="I75" s="9">
        <v>0.13</v>
      </c>
      <c r="J75" s="9">
        <v>5</v>
      </c>
      <c r="K75" s="9">
        <v>0</v>
      </c>
    </row>
    <row r="76" spans="1:11">
      <c r="A76" s="9">
        <v>20220628</v>
      </c>
      <c r="B76" s="9">
        <v>20220628</v>
      </c>
      <c r="C76" s="9" t="s">
        <v>92</v>
      </c>
      <c r="D76" s="9" t="s">
        <v>185</v>
      </c>
      <c r="E76" s="9" t="s">
        <v>185</v>
      </c>
      <c r="F76" s="9">
        <v>0</v>
      </c>
      <c r="G76" s="9">
        <v>0</v>
      </c>
      <c r="H76" s="9">
        <v>0.04</v>
      </c>
      <c r="I76" s="9">
        <v>-0.04</v>
      </c>
      <c r="J76" s="9">
        <v>4.96</v>
      </c>
      <c r="K76" s="9">
        <v>0</v>
      </c>
    </row>
    <row r="77" spans="1:11">
      <c r="A77" s="9">
        <v>20220629</v>
      </c>
      <c r="B77" s="9">
        <v>20220629</v>
      </c>
      <c r="C77" s="9" t="s">
        <v>86</v>
      </c>
      <c r="D77" s="9" t="s">
        <v>83</v>
      </c>
      <c r="E77" s="9" t="s">
        <v>186</v>
      </c>
      <c r="F77" s="9">
        <v>0</v>
      </c>
      <c r="G77" s="9">
        <v>0</v>
      </c>
      <c r="H77" s="9">
        <v>0</v>
      </c>
      <c r="I77" s="9">
        <v>0.04</v>
      </c>
      <c r="J77" s="9">
        <v>5</v>
      </c>
      <c r="K77" s="9">
        <v>0</v>
      </c>
    </row>
    <row r="78" spans="1:11">
      <c r="A78" s="9">
        <v>20220629</v>
      </c>
      <c r="B78" s="9">
        <v>20220629</v>
      </c>
      <c r="C78" s="9" t="s">
        <v>92</v>
      </c>
      <c r="D78" s="9" t="s">
        <v>185</v>
      </c>
      <c r="E78" s="9" t="s">
        <v>185</v>
      </c>
      <c r="F78" s="9">
        <v>0</v>
      </c>
      <c r="G78" s="9">
        <v>0</v>
      </c>
      <c r="H78" s="9">
        <v>0.04</v>
      </c>
      <c r="I78" s="9">
        <v>-0.04</v>
      </c>
      <c r="J78" s="9">
        <v>4.96</v>
      </c>
      <c r="K78" s="9">
        <v>0</v>
      </c>
    </row>
    <row r="79" spans="1:11">
      <c r="A79" s="9">
        <v>20220630</v>
      </c>
      <c r="B79" s="9">
        <v>20220630</v>
      </c>
      <c r="C79" s="9" t="s">
        <v>86</v>
      </c>
      <c r="D79" s="9" t="s">
        <v>83</v>
      </c>
      <c r="E79" s="9" t="s">
        <v>186</v>
      </c>
      <c r="F79" s="9">
        <v>0</v>
      </c>
      <c r="G79" s="9">
        <v>0</v>
      </c>
      <c r="H79" s="9">
        <v>0</v>
      </c>
      <c r="I79" s="9">
        <v>0.04</v>
      </c>
      <c r="J79" s="9">
        <v>5</v>
      </c>
      <c r="K79" s="9">
        <v>0</v>
      </c>
    </row>
    <row r="80" spans="1:11">
      <c r="A80" s="9">
        <v>20220630</v>
      </c>
      <c r="B80" s="9">
        <v>20220630</v>
      </c>
      <c r="C80" s="9" t="s">
        <v>92</v>
      </c>
      <c r="D80" s="9" t="s">
        <v>185</v>
      </c>
      <c r="E80" s="9" t="s">
        <v>185</v>
      </c>
      <c r="F80" s="9">
        <v>0</v>
      </c>
      <c r="G80" s="9">
        <v>0</v>
      </c>
      <c r="H80" s="9">
        <v>0.04</v>
      </c>
      <c r="I80" s="9">
        <v>-0.04</v>
      </c>
      <c r="J80" s="9">
        <v>4.96</v>
      </c>
      <c r="K80" s="9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selection activeCell="A1" sqref="A1:K19"/>
    </sheetView>
  </sheetViews>
  <sheetFormatPr defaultColWidth="9" defaultRowHeight="13.5"/>
  <cols>
    <col min="1" max="16384" width="9" style="8"/>
  </cols>
  <sheetData>
    <row r="1" spans="1:15">
      <c r="A1" s="8" t="str">
        <f>"成交日期"</f>
        <v>成交日期</v>
      </c>
      <c r="B1" s="8" t="str">
        <f>"委托日期"</f>
        <v>委托日期</v>
      </c>
      <c r="C1" s="8" t="str">
        <f>"业务类型"</f>
        <v>业务类型</v>
      </c>
      <c r="D1" s="8" t="str">
        <f>"证券代码"</f>
        <v>证券代码</v>
      </c>
      <c r="E1" s="8" t="str">
        <f>"证券名称"</f>
        <v>证券名称</v>
      </c>
      <c r="F1" s="8" t="str">
        <f>"成交价格"</f>
        <v>成交价格</v>
      </c>
      <c r="G1" s="8" t="str">
        <f>"成交数量"</f>
        <v>成交数量</v>
      </c>
      <c r="H1" s="8" t="str">
        <f>"成交金额"</f>
        <v>成交金额</v>
      </c>
      <c r="I1" s="8" t="str">
        <f>"发生金额"</f>
        <v>发生金额</v>
      </c>
      <c r="J1" s="8" t="str">
        <f>"资金余额"</f>
        <v>资金余额</v>
      </c>
      <c r="K1" s="8" t="str">
        <f>"当前持仓"</f>
        <v>当前持仓</v>
      </c>
      <c r="L1" s="8" t="str">
        <f>"币种"</f>
        <v>币种</v>
      </c>
      <c r="M1" s="8" t="str">
        <f>"协议编号"</f>
        <v>协议编号</v>
      </c>
      <c r="N1" s="8" t="str">
        <f>"股东代码"</f>
        <v>股东代码</v>
      </c>
      <c r="O1" s="8" t="str">
        <f>"产品账号"</f>
        <v>产品账号</v>
      </c>
    </row>
    <row r="2" spans="1:15">
      <c r="A2" s="8" t="str">
        <f>"20110708"</f>
        <v>20110708</v>
      </c>
      <c r="B2" s="8" t="str">
        <f>"20110708"</f>
        <v>20110708</v>
      </c>
      <c r="C2" s="8" t="str">
        <f>"指定交易"</f>
        <v>指定交易</v>
      </c>
      <c r="D2" s="8" t="str">
        <f>"799999"</f>
        <v>799999</v>
      </c>
      <c r="E2" s="8" t="str">
        <f>"登记指定"</f>
        <v>登记指定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 t="str">
        <f t="shared" ref="L2:L19" si="0">"人民币"</f>
        <v>人民币</v>
      </c>
      <c r="M2" s="8" t="str">
        <f>"1361000127"</f>
        <v>1361000127</v>
      </c>
      <c r="N2" s="8" t="str">
        <f>"A368402599"</f>
        <v>A368402599</v>
      </c>
      <c r="O2" s="8" t="str">
        <f t="shared" ref="O2:O19" si="1">"300100052893"</f>
        <v>300100052893</v>
      </c>
    </row>
    <row r="3" spans="1:15">
      <c r="A3" s="8" t="str">
        <f>"20110711"</f>
        <v>20110711</v>
      </c>
      <c r="B3" s="8" t="str">
        <f>"20110711"</f>
        <v>20110711</v>
      </c>
      <c r="C3" s="8" t="str">
        <f>"银行转证券"</f>
        <v>银行转证券</v>
      </c>
      <c r="F3" s="8">
        <v>0</v>
      </c>
      <c r="G3" s="8">
        <v>0</v>
      </c>
      <c r="H3" s="8">
        <v>0</v>
      </c>
      <c r="I3" s="8">
        <v>5000</v>
      </c>
      <c r="J3" s="8">
        <v>5000</v>
      </c>
      <c r="K3" s="8">
        <v>0</v>
      </c>
      <c r="L3" s="8" t="str">
        <f t="shared" si="0"/>
        <v>人民币</v>
      </c>
      <c r="O3" s="8" t="str">
        <f t="shared" si="1"/>
        <v>300100052893</v>
      </c>
    </row>
    <row r="4" spans="1:15">
      <c r="A4" s="8" t="str">
        <f>"20110714"</f>
        <v>20110714</v>
      </c>
      <c r="B4" s="8" t="str">
        <f>"20110714"</f>
        <v>20110714</v>
      </c>
      <c r="C4" s="8" t="str">
        <f>"证券买入"</f>
        <v>证券买入</v>
      </c>
      <c r="D4" s="8" t="str">
        <f t="shared" ref="D4:D9" si="2">"600664"</f>
        <v>600664</v>
      </c>
      <c r="E4" s="8" t="str">
        <f t="shared" ref="E4:E9" si="3">"哈药股份"</f>
        <v>哈药股份</v>
      </c>
      <c r="F4" s="8">
        <v>16.38</v>
      </c>
      <c r="G4" s="8">
        <v>300</v>
      </c>
      <c r="H4" s="8">
        <v>4914</v>
      </c>
      <c r="I4" s="8">
        <v>-4920.41</v>
      </c>
      <c r="J4" s="8">
        <v>79.59</v>
      </c>
      <c r="K4" s="8">
        <v>300</v>
      </c>
      <c r="L4" s="8" t="str">
        <f t="shared" si="0"/>
        <v>人民币</v>
      </c>
      <c r="M4" s="8" t="str">
        <f>"1361003002"</f>
        <v>1361003002</v>
      </c>
      <c r="N4" s="8" t="str">
        <f t="shared" ref="N4:N13" si="4">"A368402599"</f>
        <v>A368402599</v>
      </c>
      <c r="O4" s="8" t="str">
        <f t="shared" si="1"/>
        <v>300100052893</v>
      </c>
    </row>
    <row r="5" spans="1:15">
      <c r="A5" s="8" t="str">
        <f>"20110718"</f>
        <v>20110718</v>
      </c>
      <c r="B5" s="8" t="str">
        <f>"20110718"</f>
        <v>20110718</v>
      </c>
      <c r="C5" s="8" t="str">
        <f>"证券卖出"</f>
        <v>证券卖出</v>
      </c>
      <c r="D5" s="8" t="str">
        <f t="shared" si="2"/>
        <v>600664</v>
      </c>
      <c r="E5" s="8" t="str">
        <f t="shared" si="3"/>
        <v>哈药股份</v>
      </c>
      <c r="F5" s="8">
        <v>17.18</v>
      </c>
      <c r="G5" s="8">
        <v>300</v>
      </c>
      <c r="H5" s="8">
        <v>5154</v>
      </c>
      <c r="I5" s="8">
        <v>5142.18</v>
      </c>
      <c r="J5" s="8">
        <v>5221.77</v>
      </c>
      <c r="K5" s="8">
        <v>0</v>
      </c>
      <c r="L5" s="8" t="str">
        <f t="shared" si="0"/>
        <v>人民币</v>
      </c>
      <c r="M5" s="8" t="str">
        <f>"1361002057"</f>
        <v>1361002057</v>
      </c>
      <c r="N5" s="8" t="str">
        <f t="shared" si="4"/>
        <v>A368402599</v>
      </c>
      <c r="O5" s="8" t="str">
        <f t="shared" si="1"/>
        <v>300100052893</v>
      </c>
    </row>
    <row r="6" spans="1:15">
      <c r="A6" s="8" t="str">
        <f>"20110725"</f>
        <v>20110725</v>
      </c>
      <c r="B6" s="8" t="str">
        <f>"20110725"</f>
        <v>20110725</v>
      </c>
      <c r="C6" s="8" t="str">
        <f>"证券转银行"</f>
        <v>证券转银行</v>
      </c>
      <c r="F6" s="8">
        <v>0</v>
      </c>
      <c r="G6" s="8">
        <v>0</v>
      </c>
      <c r="H6" s="8">
        <v>0</v>
      </c>
      <c r="I6" s="8">
        <v>-5000</v>
      </c>
      <c r="J6" s="8">
        <v>221.77</v>
      </c>
      <c r="K6" s="8">
        <v>0</v>
      </c>
      <c r="L6" s="8" t="str">
        <f t="shared" si="0"/>
        <v>人民币</v>
      </c>
      <c r="O6" s="8" t="str">
        <f t="shared" si="1"/>
        <v>300100052893</v>
      </c>
    </row>
    <row r="7" spans="1:15">
      <c r="A7" s="8" t="str">
        <f>"20110805"</f>
        <v>20110805</v>
      </c>
      <c r="B7" s="8" t="str">
        <f>"20110805"</f>
        <v>20110805</v>
      </c>
      <c r="C7" s="8" t="str">
        <f>"银行转证券"</f>
        <v>银行转证券</v>
      </c>
      <c r="F7" s="8">
        <v>0</v>
      </c>
      <c r="G7" s="8">
        <v>0</v>
      </c>
      <c r="H7" s="8">
        <v>0</v>
      </c>
      <c r="I7" s="8">
        <v>4778.23</v>
      </c>
      <c r="J7" s="8">
        <v>5000</v>
      </c>
      <c r="K7" s="8">
        <v>0</v>
      </c>
      <c r="L7" s="8" t="str">
        <f t="shared" si="0"/>
        <v>人民币</v>
      </c>
      <c r="O7" s="8" t="str">
        <f t="shared" si="1"/>
        <v>300100052893</v>
      </c>
    </row>
    <row r="8" spans="1:15">
      <c r="A8" s="8" t="str">
        <f>"20110810"</f>
        <v>20110810</v>
      </c>
      <c r="B8" s="8" t="str">
        <f>"20110810"</f>
        <v>20110810</v>
      </c>
      <c r="C8" s="8" t="str">
        <f t="shared" ref="C8:C12" si="5">"证券买入"</f>
        <v>证券买入</v>
      </c>
      <c r="D8" s="8" t="str">
        <f t="shared" si="2"/>
        <v>600664</v>
      </c>
      <c r="E8" s="8" t="str">
        <f t="shared" si="3"/>
        <v>哈药股份</v>
      </c>
      <c r="F8" s="8">
        <v>10.62</v>
      </c>
      <c r="G8" s="8">
        <v>300</v>
      </c>
      <c r="H8" s="8">
        <v>3186</v>
      </c>
      <c r="I8" s="8">
        <v>-3192</v>
      </c>
      <c r="J8" s="8">
        <v>1808</v>
      </c>
      <c r="K8" s="8">
        <v>300</v>
      </c>
      <c r="L8" s="8" t="str">
        <f t="shared" si="0"/>
        <v>人民币</v>
      </c>
      <c r="M8" s="8" t="str">
        <f>"1361002043"</f>
        <v>1361002043</v>
      </c>
      <c r="N8" s="8" t="str">
        <f t="shared" si="4"/>
        <v>A368402599</v>
      </c>
      <c r="O8" s="8" t="str">
        <f t="shared" si="1"/>
        <v>300100052893</v>
      </c>
    </row>
    <row r="9" spans="1:15">
      <c r="A9" s="8" t="str">
        <f>"20110811"</f>
        <v>20110811</v>
      </c>
      <c r="B9" s="8" t="str">
        <f>"20110811"</f>
        <v>20110811</v>
      </c>
      <c r="C9" s="8" t="str">
        <f t="shared" ref="C9:C13" si="6">"证券卖出"</f>
        <v>证券卖出</v>
      </c>
      <c r="D9" s="8" t="str">
        <f t="shared" si="2"/>
        <v>600664</v>
      </c>
      <c r="E9" s="8" t="str">
        <f t="shared" si="3"/>
        <v>哈药股份</v>
      </c>
      <c r="F9" s="8">
        <v>10.29</v>
      </c>
      <c r="G9" s="8">
        <v>300</v>
      </c>
      <c r="H9" s="8">
        <v>3087</v>
      </c>
      <c r="I9" s="8">
        <v>3077.92</v>
      </c>
      <c r="J9" s="8">
        <v>4885.92</v>
      </c>
      <c r="K9" s="8">
        <v>0</v>
      </c>
      <c r="L9" s="8" t="str">
        <f t="shared" si="0"/>
        <v>人民币</v>
      </c>
      <c r="M9" s="8" t="str">
        <f>"1361001332"</f>
        <v>1361001332</v>
      </c>
      <c r="N9" s="8" t="str">
        <f t="shared" si="4"/>
        <v>A368402599</v>
      </c>
      <c r="O9" s="8" t="str">
        <f t="shared" si="1"/>
        <v>300100052893</v>
      </c>
    </row>
    <row r="10" spans="1:15">
      <c r="A10" s="8" t="str">
        <f>"20110811"</f>
        <v>20110811</v>
      </c>
      <c r="B10" s="8" t="str">
        <f>"20110811"</f>
        <v>20110811</v>
      </c>
      <c r="C10" s="8" t="str">
        <f t="shared" si="5"/>
        <v>证券买入</v>
      </c>
      <c r="D10" s="8" t="str">
        <f t="shared" ref="D10:D13" si="7">"600829"</f>
        <v>600829</v>
      </c>
      <c r="E10" s="8" t="str">
        <f t="shared" ref="E10:E13" si="8">"三精制药"</f>
        <v>三精制药</v>
      </c>
      <c r="F10" s="8">
        <v>11.88</v>
      </c>
      <c r="G10" s="8">
        <v>400</v>
      </c>
      <c r="H10" s="8">
        <v>4752</v>
      </c>
      <c r="I10" s="8">
        <v>-4758.23</v>
      </c>
      <c r="J10" s="8">
        <v>127.69</v>
      </c>
      <c r="K10" s="8">
        <v>400</v>
      </c>
      <c r="L10" s="8" t="str">
        <f t="shared" si="0"/>
        <v>人民币</v>
      </c>
      <c r="M10" s="8" t="str">
        <f>"1361001926"</f>
        <v>1361001926</v>
      </c>
      <c r="N10" s="8" t="str">
        <f t="shared" si="4"/>
        <v>A368402599</v>
      </c>
      <c r="O10" s="8" t="str">
        <f t="shared" si="1"/>
        <v>300100052893</v>
      </c>
    </row>
    <row r="11" spans="1:15">
      <c r="A11" s="8" t="str">
        <f>"20110812"</f>
        <v>20110812</v>
      </c>
      <c r="B11" s="8" t="str">
        <f>"20110812"</f>
        <v>20110812</v>
      </c>
      <c r="C11" s="8" t="str">
        <f t="shared" si="6"/>
        <v>证券卖出</v>
      </c>
      <c r="D11" s="8" t="str">
        <f t="shared" si="7"/>
        <v>600829</v>
      </c>
      <c r="E11" s="8" t="str">
        <f t="shared" si="8"/>
        <v>三精制药</v>
      </c>
      <c r="F11" s="8">
        <v>12.35</v>
      </c>
      <c r="G11" s="8">
        <v>400</v>
      </c>
      <c r="H11" s="8">
        <v>4940</v>
      </c>
      <c r="I11" s="8">
        <v>4928.63</v>
      </c>
      <c r="J11" s="8">
        <v>5056.32</v>
      </c>
      <c r="K11" s="8">
        <v>0</v>
      </c>
      <c r="L11" s="8" t="str">
        <f t="shared" si="0"/>
        <v>人民币</v>
      </c>
      <c r="M11" s="8" t="str">
        <f>"1361001495"</f>
        <v>1361001495</v>
      </c>
      <c r="N11" s="8" t="str">
        <f t="shared" si="4"/>
        <v>A368402599</v>
      </c>
      <c r="O11" s="8" t="str">
        <f t="shared" si="1"/>
        <v>300100052893</v>
      </c>
    </row>
    <row r="12" spans="1:15">
      <c r="A12" s="8" t="str">
        <f>"20110818"</f>
        <v>20110818</v>
      </c>
      <c r="B12" s="8" t="str">
        <f>"20110818"</f>
        <v>20110818</v>
      </c>
      <c r="C12" s="8" t="str">
        <f t="shared" si="5"/>
        <v>证券买入</v>
      </c>
      <c r="D12" s="8" t="str">
        <f t="shared" si="7"/>
        <v>600829</v>
      </c>
      <c r="E12" s="8" t="str">
        <f t="shared" si="8"/>
        <v>三精制药</v>
      </c>
      <c r="F12" s="8">
        <v>11.88</v>
      </c>
      <c r="G12" s="8">
        <v>400</v>
      </c>
      <c r="H12" s="8">
        <v>4752</v>
      </c>
      <c r="I12" s="8">
        <v>-4758.23</v>
      </c>
      <c r="J12" s="8">
        <v>298.09</v>
      </c>
      <c r="K12" s="8">
        <v>400</v>
      </c>
      <c r="L12" s="8" t="str">
        <f t="shared" si="0"/>
        <v>人民币</v>
      </c>
      <c r="M12" s="8" t="str">
        <f>"1361002453"</f>
        <v>1361002453</v>
      </c>
      <c r="N12" s="8" t="str">
        <f t="shared" si="4"/>
        <v>A368402599</v>
      </c>
      <c r="O12" s="8" t="str">
        <f t="shared" si="1"/>
        <v>300100052893</v>
      </c>
    </row>
    <row r="13" spans="1:15">
      <c r="A13" s="8" t="str">
        <f>"20110823"</f>
        <v>20110823</v>
      </c>
      <c r="B13" s="8" t="str">
        <f>"20110823"</f>
        <v>20110823</v>
      </c>
      <c r="C13" s="8" t="str">
        <f t="shared" si="6"/>
        <v>证券卖出</v>
      </c>
      <c r="D13" s="8" t="str">
        <f t="shared" si="7"/>
        <v>600829</v>
      </c>
      <c r="E13" s="8" t="str">
        <f t="shared" si="8"/>
        <v>三精制药</v>
      </c>
      <c r="F13" s="8">
        <v>12.01</v>
      </c>
      <c r="G13" s="8">
        <v>400</v>
      </c>
      <c r="H13" s="8">
        <v>4804</v>
      </c>
      <c r="I13" s="8">
        <v>4792.92</v>
      </c>
      <c r="J13" s="8">
        <v>5091.01</v>
      </c>
      <c r="K13" s="8">
        <v>0</v>
      </c>
      <c r="L13" s="8" t="str">
        <f t="shared" si="0"/>
        <v>人民币</v>
      </c>
      <c r="M13" s="8" t="str">
        <f>"1361000568"</f>
        <v>1361000568</v>
      </c>
      <c r="N13" s="8" t="str">
        <f t="shared" si="4"/>
        <v>A368402599</v>
      </c>
      <c r="O13" s="8" t="str">
        <f t="shared" si="1"/>
        <v>300100052893</v>
      </c>
    </row>
    <row r="14" spans="1:15">
      <c r="A14" s="8" t="str">
        <f>"20110826"</f>
        <v>20110826</v>
      </c>
      <c r="B14" s="8" t="str">
        <f>"20110826"</f>
        <v>20110826</v>
      </c>
      <c r="C14" s="8" t="str">
        <f>"证券买入"</f>
        <v>证券买入</v>
      </c>
      <c r="D14" s="8" t="str">
        <f>"002500"</f>
        <v>002500</v>
      </c>
      <c r="E14" s="8" t="str">
        <f>"山西证券"</f>
        <v>山西证券</v>
      </c>
      <c r="F14" s="8">
        <v>8.5</v>
      </c>
      <c r="G14" s="8">
        <v>500</v>
      </c>
      <c r="H14" s="8">
        <v>4250</v>
      </c>
      <c r="I14" s="8">
        <v>-4255</v>
      </c>
      <c r="J14" s="8">
        <v>836.01</v>
      </c>
      <c r="K14" s="8">
        <v>500</v>
      </c>
      <c r="L14" s="8" t="str">
        <f t="shared" si="0"/>
        <v>人民币</v>
      </c>
      <c r="M14" s="8" t="str">
        <f>"T4001036"</f>
        <v>T4001036</v>
      </c>
      <c r="N14" s="8" t="str">
        <f>"0149593788"</f>
        <v>0149593788</v>
      </c>
      <c r="O14" s="8" t="str">
        <f t="shared" si="1"/>
        <v>300100052893</v>
      </c>
    </row>
    <row r="15" spans="1:15">
      <c r="A15" s="8" t="str">
        <f>"20110920"</f>
        <v>20110920</v>
      </c>
      <c r="B15" s="8" t="str">
        <f>"20110920"</f>
        <v>20110920</v>
      </c>
      <c r="C15" s="8" t="str">
        <f>"利息归本"</f>
        <v>利息归本</v>
      </c>
      <c r="F15" s="8">
        <v>0</v>
      </c>
      <c r="G15" s="8">
        <v>0</v>
      </c>
      <c r="H15" s="8">
        <v>0</v>
      </c>
      <c r="I15" s="8">
        <v>2.09</v>
      </c>
      <c r="J15" s="8">
        <v>838.1</v>
      </c>
      <c r="K15" s="8">
        <v>0</v>
      </c>
      <c r="L15" s="8" t="str">
        <f t="shared" si="0"/>
        <v>人民币</v>
      </c>
      <c r="O15" s="8" t="str">
        <f t="shared" si="1"/>
        <v>300100052893</v>
      </c>
    </row>
    <row r="16" spans="1:15">
      <c r="A16" s="8" t="str">
        <f>"20110921"</f>
        <v>20110921</v>
      </c>
      <c r="B16" s="8" t="str">
        <f>"20110921"</f>
        <v>20110921</v>
      </c>
      <c r="C16" s="8" t="str">
        <f t="shared" ref="C16:C19" si="9">"证券转银行"</f>
        <v>证券转银行</v>
      </c>
      <c r="F16" s="8">
        <v>0</v>
      </c>
      <c r="G16" s="8">
        <v>0</v>
      </c>
      <c r="H16" s="8">
        <v>0</v>
      </c>
      <c r="I16" s="8">
        <v>-72.34</v>
      </c>
      <c r="J16" s="8">
        <v>765.76</v>
      </c>
      <c r="K16" s="8">
        <v>0</v>
      </c>
      <c r="L16" s="8" t="str">
        <f t="shared" si="0"/>
        <v>人民币</v>
      </c>
      <c r="O16" s="8" t="str">
        <f t="shared" si="1"/>
        <v>300100052893</v>
      </c>
    </row>
    <row r="17" spans="1:15">
      <c r="A17" s="8" t="str">
        <f>"20110921"</f>
        <v>20110921</v>
      </c>
      <c r="B17" s="8" t="str">
        <f>"20110921"</f>
        <v>20110921</v>
      </c>
      <c r="C17" s="8" t="str">
        <f>"证券卖出"</f>
        <v>证券卖出</v>
      </c>
      <c r="D17" s="8" t="str">
        <f>"002500"</f>
        <v>002500</v>
      </c>
      <c r="E17" s="8" t="str">
        <f>"山西证券"</f>
        <v>山西证券</v>
      </c>
      <c r="F17" s="8">
        <v>9.11</v>
      </c>
      <c r="G17" s="8">
        <v>500</v>
      </c>
      <c r="H17" s="8">
        <v>4555</v>
      </c>
      <c r="I17" s="8">
        <v>4545.43</v>
      </c>
      <c r="J17" s="8">
        <v>5311.19</v>
      </c>
      <c r="K17" s="8">
        <v>0</v>
      </c>
      <c r="L17" s="8" t="str">
        <f t="shared" si="0"/>
        <v>人民币</v>
      </c>
      <c r="M17" s="8" t="str">
        <f>"T4001206"</f>
        <v>T4001206</v>
      </c>
      <c r="N17" s="8" t="str">
        <f>"0149593788"</f>
        <v>0149593788</v>
      </c>
      <c r="O17" s="8" t="str">
        <f t="shared" si="1"/>
        <v>300100052893</v>
      </c>
    </row>
    <row r="18" spans="1:15">
      <c r="A18" s="8" t="str">
        <f>"20110922"</f>
        <v>20110922</v>
      </c>
      <c r="B18" s="8" t="str">
        <f>"20110922"</f>
        <v>20110922</v>
      </c>
      <c r="C18" s="8" t="str">
        <f t="shared" si="9"/>
        <v>证券转银行</v>
      </c>
      <c r="F18" s="8">
        <v>0</v>
      </c>
      <c r="G18" s="8">
        <v>0</v>
      </c>
      <c r="H18" s="8">
        <v>0</v>
      </c>
      <c r="I18" s="8">
        <v>-5000</v>
      </c>
      <c r="J18" s="8">
        <v>311.19</v>
      </c>
      <c r="K18" s="8">
        <v>0</v>
      </c>
      <c r="L18" s="8" t="str">
        <f t="shared" si="0"/>
        <v>人民币</v>
      </c>
      <c r="O18" s="8" t="str">
        <f t="shared" si="1"/>
        <v>300100052893</v>
      </c>
    </row>
    <row r="19" spans="1:15">
      <c r="A19" s="8" t="str">
        <f>"20110922"</f>
        <v>20110922</v>
      </c>
      <c r="B19" s="8" t="str">
        <f>"20110922"</f>
        <v>20110922</v>
      </c>
      <c r="C19" s="8" t="str">
        <f t="shared" si="9"/>
        <v>证券转银行</v>
      </c>
      <c r="F19" s="8">
        <v>0</v>
      </c>
      <c r="G19" s="8">
        <v>0</v>
      </c>
      <c r="H19" s="8">
        <v>0</v>
      </c>
      <c r="I19" s="8">
        <v>-300</v>
      </c>
      <c r="J19" s="8">
        <v>11.19</v>
      </c>
      <c r="K19" s="8">
        <v>0</v>
      </c>
      <c r="L19" s="8" t="str">
        <f t="shared" si="0"/>
        <v>人民币</v>
      </c>
      <c r="O19" s="8" t="str">
        <f t="shared" si="1"/>
        <v>300100052893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workbookViewId="0">
      <selection activeCell="A2" sqref="A2:K11"/>
    </sheetView>
  </sheetViews>
  <sheetFormatPr defaultColWidth="9" defaultRowHeight="13.5"/>
  <cols>
    <col min="1" max="16384" width="9" style="8"/>
  </cols>
  <sheetData>
    <row r="1" spans="1:15">
      <c r="A1" s="8" t="str">
        <f>"成交日期"</f>
        <v>成交日期</v>
      </c>
      <c r="B1" s="8" t="str">
        <f>"委托日期"</f>
        <v>委托日期</v>
      </c>
      <c r="C1" s="8" t="str">
        <f>"业务类型"</f>
        <v>业务类型</v>
      </c>
      <c r="D1" s="8" t="str">
        <f>"证券代码"</f>
        <v>证券代码</v>
      </c>
      <c r="E1" s="8" t="str">
        <f>"证券名称"</f>
        <v>证券名称</v>
      </c>
      <c r="F1" s="8" t="str">
        <f>"成交价格"</f>
        <v>成交价格</v>
      </c>
      <c r="G1" s="8" t="str">
        <f>"成交数量"</f>
        <v>成交数量</v>
      </c>
      <c r="H1" s="8" t="str">
        <f>"成交金额"</f>
        <v>成交金额</v>
      </c>
      <c r="I1" s="8" t="str">
        <f>"发生金额"</f>
        <v>发生金额</v>
      </c>
      <c r="J1" s="8" t="str">
        <f>"资金余额"</f>
        <v>资金余额</v>
      </c>
      <c r="K1" s="8" t="str">
        <f>"当前持仓"</f>
        <v>当前持仓</v>
      </c>
      <c r="L1" s="8" t="str">
        <f>"币种"</f>
        <v>币种</v>
      </c>
      <c r="M1" s="8" t="str">
        <f>"协议编号"</f>
        <v>协议编号</v>
      </c>
      <c r="N1" s="8" t="str">
        <f>"股东代码"</f>
        <v>股东代码</v>
      </c>
      <c r="O1" s="8" t="str">
        <f>"产品账号"</f>
        <v>产品账号</v>
      </c>
    </row>
    <row r="2" spans="1:15">
      <c r="A2" s="8" t="str">
        <f>"20111010"</f>
        <v>20111010</v>
      </c>
      <c r="B2" s="8" t="str">
        <f>"20111010"</f>
        <v>20111010</v>
      </c>
      <c r="C2" s="8" t="str">
        <f>"银行转证券"</f>
        <v>银行转证券</v>
      </c>
      <c r="F2" s="8">
        <v>0</v>
      </c>
      <c r="G2" s="8">
        <v>0</v>
      </c>
      <c r="H2" s="8">
        <v>0</v>
      </c>
      <c r="I2" s="8">
        <v>5604.64</v>
      </c>
      <c r="J2" s="8">
        <v>5615.83</v>
      </c>
      <c r="K2" s="8">
        <v>0</v>
      </c>
      <c r="L2" s="8" t="str">
        <f t="shared" ref="L2:L11" si="0">"人民币"</f>
        <v>人民币</v>
      </c>
      <c r="O2" s="8" t="str">
        <f t="shared" ref="O2:O11" si="1">"300100052893"</f>
        <v>300100052893</v>
      </c>
    </row>
    <row r="3" spans="1:15">
      <c r="A3" s="8" t="str">
        <f>"20111013"</f>
        <v>20111013</v>
      </c>
      <c r="B3" s="8" t="str">
        <f>"20111013"</f>
        <v>20111013</v>
      </c>
      <c r="C3" s="8" t="str">
        <f>"证券买入"</f>
        <v>证券买入</v>
      </c>
      <c r="D3" s="8" t="str">
        <f>"600829"</f>
        <v>600829</v>
      </c>
      <c r="E3" s="8" t="str">
        <f>"三精制药"</f>
        <v>三精制药</v>
      </c>
      <c r="F3" s="8">
        <v>11.34</v>
      </c>
      <c r="G3" s="8">
        <v>400</v>
      </c>
      <c r="H3" s="8">
        <v>4536</v>
      </c>
      <c r="I3" s="8">
        <v>-4542</v>
      </c>
      <c r="J3" s="8">
        <v>1073.83</v>
      </c>
      <c r="K3" s="8">
        <v>400</v>
      </c>
      <c r="L3" s="8" t="str">
        <f t="shared" si="0"/>
        <v>人民币</v>
      </c>
      <c r="M3" s="8" t="str">
        <f>"1361002020"</f>
        <v>1361002020</v>
      </c>
      <c r="N3" s="8" t="str">
        <f>"A368402599"</f>
        <v>A368402599</v>
      </c>
      <c r="O3" s="8" t="str">
        <f t="shared" si="1"/>
        <v>300100052893</v>
      </c>
    </row>
    <row r="4" spans="1:15">
      <c r="A4" s="8" t="str">
        <f>"20111014"</f>
        <v>20111014</v>
      </c>
      <c r="B4" s="8" t="str">
        <f>"20111014"</f>
        <v>20111014</v>
      </c>
      <c r="C4" s="8" t="str">
        <f>"证券卖出"</f>
        <v>证券卖出</v>
      </c>
      <c r="D4" s="8" t="str">
        <f>"600829"</f>
        <v>600829</v>
      </c>
      <c r="E4" s="8" t="str">
        <f>"三精制药"</f>
        <v>三精制药</v>
      </c>
      <c r="F4" s="8">
        <v>11.81</v>
      </c>
      <c r="G4" s="8">
        <v>400</v>
      </c>
      <c r="H4" s="8">
        <v>4724</v>
      </c>
      <c r="I4" s="8">
        <v>4713.08</v>
      </c>
      <c r="J4" s="8">
        <v>5786.91</v>
      </c>
      <c r="K4" s="8">
        <v>0</v>
      </c>
      <c r="L4" s="8" t="str">
        <f t="shared" si="0"/>
        <v>人民币</v>
      </c>
      <c r="M4" s="8" t="str">
        <f>"1361002355"</f>
        <v>1361002355</v>
      </c>
      <c r="N4" s="8" t="str">
        <f>"A368402599"</f>
        <v>A368402599</v>
      </c>
      <c r="O4" s="8" t="str">
        <f t="shared" si="1"/>
        <v>300100052893</v>
      </c>
    </row>
    <row r="5" spans="1:15">
      <c r="A5" s="8" t="str">
        <f>"20111019"</f>
        <v>20111019</v>
      </c>
      <c r="B5" s="8" t="str">
        <f>"20111019"</f>
        <v>20111019</v>
      </c>
      <c r="C5" s="8" t="str">
        <f>"证券转银行"</f>
        <v>证券转银行</v>
      </c>
      <c r="F5" s="8">
        <v>0</v>
      </c>
      <c r="G5" s="8">
        <v>0</v>
      </c>
      <c r="H5" s="8">
        <v>0</v>
      </c>
      <c r="I5" s="8">
        <v>-5700</v>
      </c>
      <c r="J5" s="8">
        <v>86.91</v>
      </c>
      <c r="K5" s="8">
        <v>0</v>
      </c>
      <c r="L5" s="8" t="str">
        <f t="shared" si="0"/>
        <v>人民币</v>
      </c>
      <c r="O5" s="8" t="str">
        <f t="shared" si="1"/>
        <v>300100052893</v>
      </c>
    </row>
    <row r="6" spans="1:15">
      <c r="A6" s="8" t="str">
        <f>"20111101"</f>
        <v>20111101</v>
      </c>
      <c r="B6" s="8" t="str">
        <f>"20111101"</f>
        <v>20111101</v>
      </c>
      <c r="C6" s="8" t="str">
        <f>"银行转证券"</f>
        <v>银行转证券</v>
      </c>
      <c r="F6" s="8">
        <v>0</v>
      </c>
      <c r="G6" s="8">
        <v>0</v>
      </c>
      <c r="H6" s="8">
        <v>0</v>
      </c>
      <c r="I6" s="8">
        <v>5400</v>
      </c>
      <c r="J6" s="8">
        <v>5486.91</v>
      </c>
      <c r="K6" s="8">
        <v>0</v>
      </c>
      <c r="L6" s="8" t="str">
        <f t="shared" si="0"/>
        <v>人民币</v>
      </c>
      <c r="O6" s="8" t="str">
        <f t="shared" si="1"/>
        <v>300100052893</v>
      </c>
    </row>
    <row r="7" spans="1:15">
      <c r="A7" s="8" t="str">
        <f>"20111104"</f>
        <v>20111104</v>
      </c>
      <c r="B7" s="8" t="str">
        <f>"20111104"</f>
        <v>20111104</v>
      </c>
      <c r="C7" s="8" t="str">
        <f>"证券转银行"</f>
        <v>证券转银行</v>
      </c>
      <c r="F7" s="8">
        <v>0</v>
      </c>
      <c r="G7" s="8">
        <v>0</v>
      </c>
      <c r="H7" s="8">
        <v>0</v>
      </c>
      <c r="I7" s="8">
        <v>-5486.91</v>
      </c>
      <c r="J7" s="8">
        <v>0</v>
      </c>
      <c r="K7" s="8">
        <v>0</v>
      </c>
      <c r="L7" s="8" t="str">
        <f t="shared" si="0"/>
        <v>人民币</v>
      </c>
      <c r="O7" s="8" t="str">
        <f t="shared" si="1"/>
        <v>300100052893</v>
      </c>
    </row>
    <row r="8" spans="1:15">
      <c r="A8" s="8" t="str">
        <f>"20111122"</f>
        <v>20111122</v>
      </c>
      <c r="B8" s="8" t="str">
        <f>"20111122"</f>
        <v>20111122</v>
      </c>
      <c r="C8" s="8" t="str">
        <f>"银行转证券"</f>
        <v>银行转证券</v>
      </c>
      <c r="F8" s="8">
        <v>0</v>
      </c>
      <c r="G8" s="8">
        <v>0</v>
      </c>
      <c r="H8" s="8">
        <v>0</v>
      </c>
      <c r="I8" s="8">
        <v>5491.87</v>
      </c>
      <c r="J8" s="8">
        <v>5491.87</v>
      </c>
      <c r="K8" s="8">
        <v>0</v>
      </c>
      <c r="L8" s="8" t="str">
        <f t="shared" si="0"/>
        <v>人民币</v>
      </c>
      <c r="O8" s="8" t="str">
        <f t="shared" si="1"/>
        <v>300100052893</v>
      </c>
    </row>
    <row r="9" spans="1:15">
      <c r="A9" s="8" t="str">
        <f>"20111122"</f>
        <v>20111122</v>
      </c>
      <c r="B9" s="8" t="str">
        <f>"20111122"</f>
        <v>20111122</v>
      </c>
      <c r="C9" s="8" t="str">
        <f>"证券买入"</f>
        <v>证券买入</v>
      </c>
      <c r="D9" s="8" t="str">
        <f>"002500"</f>
        <v>002500</v>
      </c>
      <c r="E9" s="8" t="str">
        <f>"山西证券"</f>
        <v>山西证券</v>
      </c>
      <c r="F9" s="8">
        <v>8.52</v>
      </c>
      <c r="G9" s="8">
        <v>600</v>
      </c>
      <c r="H9" s="8">
        <v>5112</v>
      </c>
      <c r="I9" s="8">
        <v>-5117.62</v>
      </c>
      <c r="J9" s="8">
        <v>374.25</v>
      </c>
      <c r="K9" s="8">
        <v>600</v>
      </c>
      <c r="L9" s="8" t="str">
        <f t="shared" si="0"/>
        <v>人民币</v>
      </c>
      <c r="M9" s="8" t="str">
        <f>"T4001713"</f>
        <v>T4001713</v>
      </c>
      <c r="N9" s="8" t="str">
        <f>"0149593788"</f>
        <v>0149593788</v>
      </c>
      <c r="O9" s="8" t="str">
        <f t="shared" si="1"/>
        <v>300100052893</v>
      </c>
    </row>
    <row r="10" spans="1:15">
      <c r="A10" s="8" t="str">
        <f>"20111220"</f>
        <v>20111220</v>
      </c>
      <c r="B10" s="8" t="str">
        <f>"20111220"</f>
        <v>20111220</v>
      </c>
      <c r="C10" s="8" t="str">
        <f>"利息归本"</f>
        <v>利息归本</v>
      </c>
      <c r="F10" s="8">
        <v>0</v>
      </c>
      <c r="G10" s="8">
        <v>0</v>
      </c>
      <c r="H10" s="8">
        <v>0</v>
      </c>
      <c r="I10" s="8">
        <v>1</v>
      </c>
      <c r="J10" s="8">
        <v>375.25</v>
      </c>
      <c r="K10" s="8">
        <v>0</v>
      </c>
      <c r="L10" s="8" t="str">
        <f t="shared" si="0"/>
        <v>人民币</v>
      </c>
      <c r="O10" s="8" t="str">
        <f t="shared" si="1"/>
        <v>300100052893</v>
      </c>
    </row>
    <row r="11" spans="1:15">
      <c r="A11" s="8" t="str">
        <f>"20111221"</f>
        <v>20111221</v>
      </c>
      <c r="B11" s="8" t="str">
        <f>"20111221"</f>
        <v>20111221</v>
      </c>
      <c r="C11" s="8" t="str">
        <f>"证券转银行"</f>
        <v>证券转银行</v>
      </c>
      <c r="F11" s="8">
        <v>0</v>
      </c>
      <c r="G11" s="8">
        <v>0</v>
      </c>
      <c r="H11" s="8">
        <v>0</v>
      </c>
      <c r="I11" s="8">
        <v>-300</v>
      </c>
      <c r="J11" s="8">
        <v>75.25</v>
      </c>
      <c r="K11" s="8">
        <v>0</v>
      </c>
      <c r="L11" s="8" t="str">
        <f t="shared" si="0"/>
        <v>人民币</v>
      </c>
      <c r="O11" s="8" t="str">
        <f t="shared" si="1"/>
        <v>300100052893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J6" sqref="J6"/>
    </sheetView>
  </sheetViews>
  <sheetFormatPr defaultColWidth="9" defaultRowHeight="13.5" outlineLevelRow="5"/>
  <cols>
    <col min="1" max="16384" width="9" style="8"/>
  </cols>
  <sheetData>
    <row r="1" spans="1:15">
      <c r="A1" s="8" t="str">
        <f>"成交日期"</f>
        <v>成交日期</v>
      </c>
      <c r="B1" s="8" t="str">
        <f>"委托日期"</f>
        <v>委托日期</v>
      </c>
      <c r="C1" s="8" t="str">
        <f>"业务类型"</f>
        <v>业务类型</v>
      </c>
      <c r="D1" s="8" t="str">
        <f>"证券代码"</f>
        <v>证券代码</v>
      </c>
      <c r="E1" s="8" t="str">
        <f>"证券名称"</f>
        <v>证券名称</v>
      </c>
      <c r="F1" s="8" t="str">
        <f>"成交价格"</f>
        <v>成交价格</v>
      </c>
      <c r="G1" s="8" t="str">
        <f>"成交数量"</f>
        <v>成交数量</v>
      </c>
      <c r="H1" s="8" t="str">
        <f>"成交金额"</f>
        <v>成交金额</v>
      </c>
      <c r="I1" s="8" t="str">
        <f>"发生金额"</f>
        <v>发生金额</v>
      </c>
      <c r="J1" s="8" t="str">
        <f>"资金余额"</f>
        <v>资金余额</v>
      </c>
      <c r="K1" s="8" t="str">
        <f>"当前持仓"</f>
        <v>当前持仓</v>
      </c>
      <c r="L1" s="8" t="str">
        <f>"币种"</f>
        <v>币种</v>
      </c>
      <c r="M1" s="8" t="str">
        <f>"协议编号"</f>
        <v>协议编号</v>
      </c>
      <c r="N1" s="8" t="str">
        <f>"股东代码"</f>
        <v>股东代码</v>
      </c>
      <c r="O1" s="8" t="str">
        <f>"产品账号"</f>
        <v>产品账号</v>
      </c>
    </row>
    <row r="2" spans="1:15">
      <c r="A2" s="8" t="str">
        <f>"20120305"</f>
        <v>20120305</v>
      </c>
      <c r="B2" s="8" t="str">
        <f>"20120305"</f>
        <v>20120305</v>
      </c>
      <c r="C2" s="8" t="str">
        <f>"证券卖出"</f>
        <v>证券卖出</v>
      </c>
      <c r="D2" s="8" t="str">
        <f>"002500"</f>
        <v>002500</v>
      </c>
      <c r="E2" s="8" t="str">
        <f>"山西证券"</f>
        <v>山西证券</v>
      </c>
      <c r="F2" s="8">
        <v>7.48</v>
      </c>
      <c r="G2" s="8">
        <v>600</v>
      </c>
      <c r="H2" s="8">
        <v>4488</v>
      </c>
      <c r="I2" s="8">
        <v>4478.51</v>
      </c>
      <c r="J2" s="8">
        <v>4553.76</v>
      </c>
      <c r="K2" s="8">
        <v>0</v>
      </c>
      <c r="L2" s="8" t="str">
        <f t="shared" ref="L2:L6" si="0">"人民币"</f>
        <v>人民币</v>
      </c>
      <c r="M2" s="8" t="str">
        <f>"T4001449"</f>
        <v>T4001449</v>
      </c>
      <c r="N2" s="8" t="str">
        <f>"0149593788"</f>
        <v>0149593788</v>
      </c>
      <c r="O2" s="8" t="str">
        <f t="shared" ref="O2:O6" si="1">"300100052893"</f>
        <v>300100052893</v>
      </c>
    </row>
    <row r="3" spans="1:15">
      <c r="A3" s="8" t="str">
        <f>"20120308"</f>
        <v>20120308</v>
      </c>
      <c r="B3" s="8" t="str">
        <f>"20120308"</f>
        <v>20120308</v>
      </c>
      <c r="C3" s="8" t="str">
        <f>"证券买入"</f>
        <v>证券买入</v>
      </c>
      <c r="D3" s="8" t="str">
        <f>"600270"</f>
        <v>600270</v>
      </c>
      <c r="E3" s="8" t="str">
        <f>"外运发展"</f>
        <v>外运发展</v>
      </c>
      <c r="F3" s="8">
        <v>7.19</v>
      </c>
      <c r="G3" s="8">
        <v>600</v>
      </c>
      <c r="H3" s="8">
        <v>4314</v>
      </c>
      <c r="I3" s="8">
        <v>-4320</v>
      </c>
      <c r="J3" s="8">
        <v>233.76</v>
      </c>
      <c r="K3" s="8">
        <v>600</v>
      </c>
      <c r="L3" s="8" t="str">
        <f t="shared" si="0"/>
        <v>人民币</v>
      </c>
      <c r="M3" s="8" t="str">
        <f>"1361002055"</f>
        <v>1361002055</v>
      </c>
      <c r="N3" s="8" t="str">
        <f>"A368402599"</f>
        <v>A368402599</v>
      </c>
      <c r="O3" s="8" t="str">
        <f t="shared" si="1"/>
        <v>300100052893</v>
      </c>
    </row>
    <row r="4" spans="1:15">
      <c r="A4" s="8" t="str">
        <f>"20120312"</f>
        <v>20120312</v>
      </c>
      <c r="B4" s="8" t="str">
        <f>"20120312"</f>
        <v>20120312</v>
      </c>
      <c r="C4" s="8" t="str">
        <f>"证券卖出"</f>
        <v>证券卖出</v>
      </c>
      <c r="D4" s="8" t="str">
        <f>"600270"</f>
        <v>600270</v>
      </c>
      <c r="E4" s="8" t="str">
        <f>"外运发展"</f>
        <v>外运发展</v>
      </c>
      <c r="F4" s="8">
        <v>7.37</v>
      </c>
      <c r="G4" s="8">
        <v>600</v>
      </c>
      <c r="H4" s="8">
        <v>4422</v>
      </c>
      <c r="I4" s="8">
        <v>4411.58</v>
      </c>
      <c r="J4" s="8">
        <v>4645.34</v>
      </c>
      <c r="K4" s="8">
        <v>0</v>
      </c>
      <c r="L4" s="8" t="str">
        <f t="shared" si="0"/>
        <v>人民币</v>
      </c>
      <c r="M4" s="8" t="str">
        <f>"1361001233"</f>
        <v>1361001233</v>
      </c>
      <c r="N4" s="8" t="str">
        <f>"A368402599"</f>
        <v>A368402599</v>
      </c>
      <c r="O4" s="8" t="str">
        <f t="shared" si="1"/>
        <v>300100052893</v>
      </c>
    </row>
    <row r="5" spans="1:15">
      <c r="A5" s="8" t="str">
        <f>"20120313"</f>
        <v>20120313</v>
      </c>
      <c r="B5" s="8" t="str">
        <f>"20120313"</f>
        <v>20120313</v>
      </c>
      <c r="C5" s="8" t="str">
        <f>"证券买入"</f>
        <v>证券买入</v>
      </c>
      <c r="D5" s="8" t="str">
        <f>"600583"</f>
        <v>600583</v>
      </c>
      <c r="E5" s="8" t="str">
        <f>"海油工程"</f>
        <v>海油工程</v>
      </c>
      <c r="F5" s="8">
        <v>6.22</v>
      </c>
      <c r="G5" s="8">
        <v>700</v>
      </c>
      <c r="H5" s="8">
        <v>4354</v>
      </c>
      <c r="I5" s="8">
        <v>-4360</v>
      </c>
      <c r="J5" s="8">
        <v>285.34</v>
      </c>
      <c r="K5" s="8">
        <v>700</v>
      </c>
      <c r="L5" s="8" t="str">
        <f t="shared" si="0"/>
        <v>人民币</v>
      </c>
      <c r="M5" s="8" t="str">
        <f>"1361003812"</f>
        <v>1361003812</v>
      </c>
      <c r="N5" s="8" t="str">
        <f>"A368402599"</f>
        <v>A368402599</v>
      </c>
      <c r="O5" s="8" t="str">
        <f t="shared" si="1"/>
        <v>300100052893</v>
      </c>
    </row>
    <row r="6" spans="1:15">
      <c r="A6" s="8" t="str">
        <f>"20120320"</f>
        <v>20120320</v>
      </c>
      <c r="B6" s="8" t="str">
        <f>"20120320"</f>
        <v>20120320</v>
      </c>
      <c r="C6" s="8" t="str">
        <f>"利息归本"</f>
        <v>利息归本</v>
      </c>
      <c r="F6" s="8">
        <v>0</v>
      </c>
      <c r="G6" s="8">
        <v>0</v>
      </c>
      <c r="H6" s="8">
        <v>0</v>
      </c>
      <c r="I6" s="8">
        <v>0.37</v>
      </c>
      <c r="J6" s="8">
        <v>285.71</v>
      </c>
      <c r="K6" s="8">
        <v>0</v>
      </c>
      <c r="L6" s="8" t="str">
        <f t="shared" si="0"/>
        <v>人民币</v>
      </c>
      <c r="O6" s="8" t="str">
        <f t="shared" si="1"/>
        <v>300100052893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A2" sqref="A2:K4"/>
    </sheetView>
  </sheetViews>
  <sheetFormatPr defaultColWidth="9" defaultRowHeight="13.5" outlineLevelRow="3"/>
  <cols>
    <col min="1" max="16384" width="9" style="8"/>
  </cols>
  <sheetData>
    <row r="1" spans="1:15">
      <c r="A1" s="8" t="str">
        <f>"成交日期"</f>
        <v>成交日期</v>
      </c>
      <c r="B1" s="8" t="str">
        <f>"委托日期"</f>
        <v>委托日期</v>
      </c>
      <c r="C1" s="8" t="str">
        <f>"业务类型"</f>
        <v>业务类型</v>
      </c>
      <c r="D1" s="8" t="str">
        <f>"证券代码"</f>
        <v>证券代码</v>
      </c>
      <c r="E1" s="8" t="str">
        <f>"证券名称"</f>
        <v>证券名称</v>
      </c>
      <c r="F1" s="8" t="str">
        <f>"成交价格"</f>
        <v>成交价格</v>
      </c>
      <c r="G1" s="8" t="str">
        <f>"成交数量"</f>
        <v>成交数量</v>
      </c>
      <c r="H1" s="8" t="str">
        <f>"成交金额"</f>
        <v>成交金额</v>
      </c>
      <c r="I1" s="8" t="str">
        <f>"发生金额"</f>
        <v>发生金额</v>
      </c>
      <c r="J1" s="8" t="str">
        <f>"资金余额"</f>
        <v>资金余额</v>
      </c>
      <c r="K1" s="8" t="str">
        <f>"当前持仓"</f>
        <v>当前持仓</v>
      </c>
      <c r="L1" s="8" t="str">
        <f>"币种"</f>
        <v>币种</v>
      </c>
      <c r="M1" s="8" t="str">
        <f>"协议编号"</f>
        <v>协议编号</v>
      </c>
      <c r="N1" s="8" t="str">
        <f>"股东代码"</f>
        <v>股东代码</v>
      </c>
      <c r="O1" s="8" t="str">
        <f>"产品账号"</f>
        <v>产品账号</v>
      </c>
    </row>
    <row r="2" spans="1:15">
      <c r="A2" s="8" t="str">
        <f>"20120608"</f>
        <v>20120608</v>
      </c>
      <c r="B2" s="8" t="str">
        <f>"20120608"</f>
        <v>20120608</v>
      </c>
      <c r="C2" s="8" t="str">
        <f>"红利入账"</f>
        <v>红利入账</v>
      </c>
      <c r="D2" s="8" t="str">
        <f>"600583"</f>
        <v>600583</v>
      </c>
      <c r="E2" s="8" t="str">
        <f>"海油工程"</f>
        <v>海油工程</v>
      </c>
      <c r="F2" s="8">
        <v>0</v>
      </c>
      <c r="G2" s="8">
        <v>700</v>
      </c>
      <c r="H2" s="8">
        <v>22.05</v>
      </c>
      <c r="I2" s="8">
        <v>22.05</v>
      </c>
      <c r="J2" s="8">
        <v>307.76</v>
      </c>
      <c r="K2" s="8">
        <v>0</v>
      </c>
      <c r="L2" s="8" t="str">
        <f>"人民币"</f>
        <v>人民币</v>
      </c>
      <c r="N2" s="8" t="str">
        <f>"A368402599"</f>
        <v>A368402599</v>
      </c>
      <c r="O2" s="8" t="str">
        <f>"300100052893"</f>
        <v>300100052893</v>
      </c>
    </row>
    <row r="3" spans="1:15">
      <c r="A3" s="8" t="str">
        <f>"20120618"</f>
        <v>20120618</v>
      </c>
      <c r="B3" s="8" t="str">
        <f>"20120618"</f>
        <v>20120618</v>
      </c>
      <c r="C3" s="8" t="str">
        <f>"证券转银行"</f>
        <v>证券转银行</v>
      </c>
      <c r="F3" s="8">
        <v>0</v>
      </c>
      <c r="G3" s="8">
        <v>0</v>
      </c>
      <c r="H3" s="8">
        <v>0</v>
      </c>
      <c r="I3" s="8">
        <v>-300</v>
      </c>
      <c r="J3" s="8">
        <v>7.76</v>
      </c>
      <c r="K3" s="8">
        <v>0</v>
      </c>
      <c r="L3" s="8" t="str">
        <f>"人民币"</f>
        <v>人民币</v>
      </c>
      <c r="O3" s="8" t="str">
        <f>"300100052893"</f>
        <v>300100052893</v>
      </c>
    </row>
    <row r="4" spans="1:15">
      <c r="A4" s="8" t="str">
        <f>"20120620"</f>
        <v>20120620</v>
      </c>
      <c r="B4" s="8" t="str">
        <f>"20120620"</f>
        <v>20120620</v>
      </c>
      <c r="C4" s="8" t="str">
        <f>"利息归本"</f>
        <v>利息归本</v>
      </c>
      <c r="F4" s="8">
        <v>0</v>
      </c>
      <c r="G4" s="8">
        <v>0</v>
      </c>
      <c r="H4" s="8">
        <v>0</v>
      </c>
      <c r="I4" s="8">
        <v>0.28</v>
      </c>
      <c r="J4" s="8">
        <v>8.04</v>
      </c>
      <c r="K4" s="8">
        <v>0</v>
      </c>
      <c r="L4" s="8" t="str">
        <f>"人民币"</f>
        <v>人民币</v>
      </c>
      <c r="O4" s="8" t="str">
        <f>"300100052893"</f>
        <v>300100052893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A2" sqref="A2:K2"/>
    </sheetView>
  </sheetViews>
  <sheetFormatPr defaultColWidth="9" defaultRowHeight="13.5" outlineLevelRow="1"/>
  <cols>
    <col min="1" max="16384" width="9" style="8"/>
  </cols>
  <sheetData>
    <row r="1" spans="1:15">
      <c r="A1" s="8" t="str">
        <f>"成交日期"</f>
        <v>成交日期</v>
      </c>
      <c r="B1" s="8" t="str">
        <f>"委托日期"</f>
        <v>委托日期</v>
      </c>
      <c r="C1" s="8" t="str">
        <f>"业务类型"</f>
        <v>业务类型</v>
      </c>
      <c r="D1" s="8" t="str">
        <f>"证券代码"</f>
        <v>证券代码</v>
      </c>
      <c r="E1" s="8" t="str">
        <f>"证券名称"</f>
        <v>证券名称</v>
      </c>
      <c r="F1" s="8" t="str">
        <f>"成交价格"</f>
        <v>成交价格</v>
      </c>
      <c r="G1" s="8" t="str">
        <f>"成交数量"</f>
        <v>成交数量</v>
      </c>
      <c r="H1" s="8" t="str">
        <f>"成交金额"</f>
        <v>成交金额</v>
      </c>
      <c r="I1" s="8" t="str">
        <f>"发生金额"</f>
        <v>发生金额</v>
      </c>
      <c r="J1" s="8" t="str">
        <f>"资金余额"</f>
        <v>资金余额</v>
      </c>
      <c r="K1" s="8" t="str">
        <f>"当前持仓"</f>
        <v>当前持仓</v>
      </c>
      <c r="L1" s="8" t="str">
        <f>"币种"</f>
        <v>币种</v>
      </c>
      <c r="M1" s="8" t="str">
        <f>"协议编号"</f>
        <v>协议编号</v>
      </c>
      <c r="N1" s="8" t="str">
        <f>"股东代码"</f>
        <v>股东代码</v>
      </c>
      <c r="O1" s="8" t="str">
        <f>"产品账号"</f>
        <v>产品账号</v>
      </c>
    </row>
    <row r="2" spans="1:15">
      <c r="A2" s="8" t="str">
        <f>"20120920"</f>
        <v>20120920</v>
      </c>
      <c r="B2" s="8" t="str">
        <f>"20120920"</f>
        <v>20120920</v>
      </c>
      <c r="C2" s="8" t="str">
        <f>"利息归本"</f>
        <v>利息归本</v>
      </c>
      <c r="F2" s="8">
        <v>0</v>
      </c>
      <c r="G2" s="8">
        <v>0</v>
      </c>
      <c r="H2" s="8">
        <v>0</v>
      </c>
      <c r="I2" s="8">
        <v>0.01</v>
      </c>
      <c r="J2" s="8">
        <v>8.05</v>
      </c>
      <c r="K2" s="8">
        <v>0</v>
      </c>
      <c r="L2" s="8" t="str">
        <f>"人民币"</f>
        <v>人民币</v>
      </c>
      <c r="O2" s="8" t="str">
        <f>"300100052893"</f>
        <v>300100052893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A2" sqref="A2:K4"/>
    </sheetView>
  </sheetViews>
  <sheetFormatPr defaultColWidth="9" defaultRowHeight="13.5" outlineLevelRow="3"/>
  <cols>
    <col min="1" max="16384" width="9" style="8"/>
  </cols>
  <sheetData>
    <row r="1" spans="1:15">
      <c r="A1" s="8" t="str">
        <f>"成交日期"</f>
        <v>成交日期</v>
      </c>
      <c r="B1" s="8" t="str">
        <f>"委托日期"</f>
        <v>委托日期</v>
      </c>
      <c r="C1" s="8" t="str">
        <f>"业务类型"</f>
        <v>业务类型</v>
      </c>
      <c r="D1" s="8" t="str">
        <f>"证券代码"</f>
        <v>证券代码</v>
      </c>
      <c r="E1" s="8" t="str">
        <f>"证券名称"</f>
        <v>证券名称</v>
      </c>
      <c r="F1" s="8" t="str">
        <f>"成交价格"</f>
        <v>成交价格</v>
      </c>
      <c r="G1" s="8" t="str">
        <f>"成交数量"</f>
        <v>成交数量</v>
      </c>
      <c r="H1" s="8" t="str">
        <f>"成交金额"</f>
        <v>成交金额</v>
      </c>
      <c r="I1" s="8" t="str">
        <f>"发生金额"</f>
        <v>发生金额</v>
      </c>
      <c r="J1" s="8" t="str">
        <f>"资金余额"</f>
        <v>资金余额</v>
      </c>
      <c r="K1" s="8" t="str">
        <f>"当前持仓"</f>
        <v>当前持仓</v>
      </c>
      <c r="L1" s="8" t="str">
        <f>"币种"</f>
        <v>币种</v>
      </c>
      <c r="M1" s="8" t="str">
        <f>"协议编号"</f>
        <v>协议编号</v>
      </c>
      <c r="N1" s="8" t="str">
        <f>"股东代码"</f>
        <v>股东代码</v>
      </c>
      <c r="O1" s="8" t="str">
        <f>"产品账号"</f>
        <v>产品账号</v>
      </c>
    </row>
    <row r="2" spans="1:15">
      <c r="A2" s="8" t="str">
        <f>"20121220"</f>
        <v>20121220</v>
      </c>
      <c r="B2" s="8" t="str">
        <f>"20121220"</f>
        <v>20121220</v>
      </c>
      <c r="C2" s="8" t="str">
        <f>"利息归本"</f>
        <v>利息归本</v>
      </c>
      <c r="F2" s="8">
        <v>0</v>
      </c>
      <c r="G2" s="8">
        <v>0</v>
      </c>
      <c r="H2" s="8">
        <v>0</v>
      </c>
      <c r="I2" s="8">
        <v>0.01</v>
      </c>
      <c r="J2" s="8">
        <v>8.06</v>
      </c>
      <c r="K2" s="8">
        <v>0</v>
      </c>
      <c r="L2" s="8" t="str">
        <f>"人民币"</f>
        <v>人民币</v>
      </c>
      <c r="O2" s="8" t="str">
        <f>"300100052893"</f>
        <v>300100052893</v>
      </c>
    </row>
    <row r="3" spans="1:15">
      <c r="A3" s="8" t="str">
        <f>"20121228"</f>
        <v>20121228</v>
      </c>
      <c r="B3" s="8" t="str">
        <f>"20121228"</f>
        <v>20121228</v>
      </c>
      <c r="C3" s="8" t="str">
        <f>"银行转证券"</f>
        <v>银行转证券</v>
      </c>
      <c r="F3" s="8">
        <v>0</v>
      </c>
      <c r="G3" s="8">
        <v>0</v>
      </c>
      <c r="H3" s="8">
        <v>0</v>
      </c>
      <c r="I3" s="8">
        <v>1900</v>
      </c>
      <c r="J3" s="8">
        <v>1908.06</v>
      </c>
      <c r="K3" s="8">
        <v>0</v>
      </c>
      <c r="L3" s="8" t="str">
        <f>"人民币"</f>
        <v>人民币</v>
      </c>
      <c r="O3" s="8" t="str">
        <f>"300100052893"</f>
        <v>300100052893</v>
      </c>
    </row>
    <row r="4" spans="1:15">
      <c r="A4" s="8" t="str">
        <f>"20121228"</f>
        <v>20121228</v>
      </c>
      <c r="B4" s="8" t="str">
        <f>"20121228"</f>
        <v>20121228</v>
      </c>
      <c r="C4" s="8" t="str">
        <f>"证券转银行"</f>
        <v>证券转银行</v>
      </c>
      <c r="F4" s="8">
        <v>0</v>
      </c>
      <c r="G4" s="8">
        <v>0</v>
      </c>
      <c r="H4" s="8">
        <v>0</v>
      </c>
      <c r="I4" s="8">
        <v>-1900</v>
      </c>
      <c r="J4" s="8">
        <v>8.06</v>
      </c>
      <c r="K4" s="8">
        <v>0</v>
      </c>
      <c r="L4" s="8" t="str">
        <f>"人民币"</f>
        <v>人民币</v>
      </c>
      <c r="O4" s="8" t="str">
        <f>"300100052893"</f>
        <v>300100052893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A2" sqref="A2:K4"/>
    </sheetView>
  </sheetViews>
  <sheetFormatPr defaultColWidth="9" defaultRowHeight="13.5" outlineLevelRow="3"/>
  <cols>
    <col min="1" max="16384" width="9" style="8"/>
  </cols>
  <sheetData>
    <row r="1" spans="1:15">
      <c r="A1" s="8" t="str">
        <f>"成交日期"</f>
        <v>成交日期</v>
      </c>
      <c r="B1" s="8" t="str">
        <f>"委托日期"</f>
        <v>委托日期</v>
      </c>
      <c r="C1" s="8" t="str">
        <f>"业务类型"</f>
        <v>业务类型</v>
      </c>
      <c r="D1" s="8" t="str">
        <f>"证券代码"</f>
        <v>证券代码</v>
      </c>
      <c r="E1" s="8" t="str">
        <f>"证券名称"</f>
        <v>证券名称</v>
      </c>
      <c r="F1" s="8" t="str">
        <f>"成交价格"</f>
        <v>成交价格</v>
      </c>
      <c r="G1" s="8" t="str">
        <f>"成交数量"</f>
        <v>成交数量</v>
      </c>
      <c r="H1" s="8" t="str">
        <f>"成交金额"</f>
        <v>成交金额</v>
      </c>
      <c r="I1" s="8" t="str">
        <f>"发生金额"</f>
        <v>发生金额</v>
      </c>
      <c r="J1" s="8" t="str">
        <f>"资金余额"</f>
        <v>资金余额</v>
      </c>
      <c r="K1" s="8" t="str">
        <f>"当前持仓"</f>
        <v>当前持仓</v>
      </c>
      <c r="L1" s="8" t="str">
        <f>"币种"</f>
        <v>币种</v>
      </c>
      <c r="M1" s="8" t="str">
        <f>"协议编号"</f>
        <v>协议编号</v>
      </c>
      <c r="N1" s="8" t="str">
        <f>"股东代码"</f>
        <v>股东代码</v>
      </c>
      <c r="O1" s="8" t="str">
        <f>"产品账号"</f>
        <v>产品账号</v>
      </c>
    </row>
    <row r="2" spans="1:15">
      <c r="A2" s="8" t="str">
        <f>"20130110"</f>
        <v>20130110</v>
      </c>
      <c r="B2" s="8" t="str">
        <f>"20130110"</f>
        <v>20130110</v>
      </c>
      <c r="C2" s="8" t="str">
        <f>"银行转证券"</f>
        <v>银行转证券</v>
      </c>
      <c r="F2" s="8">
        <v>0</v>
      </c>
      <c r="G2" s="8">
        <v>0</v>
      </c>
      <c r="H2" s="8">
        <v>0</v>
      </c>
      <c r="I2" s="8">
        <v>3000</v>
      </c>
      <c r="J2" s="8">
        <v>3008.06</v>
      </c>
      <c r="K2" s="8">
        <v>0</v>
      </c>
      <c r="L2" s="8" t="str">
        <f>"人民币"</f>
        <v>人民币</v>
      </c>
      <c r="O2" s="8" t="str">
        <f>"300100052893"</f>
        <v>300100052893</v>
      </c>
    </row>
    <row r="3" spans="1:15">
      <c r="A3" s="8" t="str">
        <f>"20130225"</f>
        <v>20130225</v>
      </c>
      <c r="B3" s="8" t="str">
        <f>"20130225"</f>
        <v>20130225</v>
      </c>
      <c r="C3" s="8" t="str">
        <f>"证券转银行"</f>
        <v>证券转银行</v>
      </c>
      <c r="F3" s="8">
        <v>0</v>
      </c>
      <c r="G3" s="8">
        <v>0</v>
      </c>
      <c r="H3" s="8">
        <v>0</v>
      </c>
      <c r="I3" s="8">
        <v>-3000</v>
      </c>
      <c r="J3" s="8">
        <v>8.06</v>
      </c>
      <c r="K3" s="8">
        <v>0</v>
      </c>
      <c r="L3" s="8" t="str">
        <f>"人民币"</f>
        <v>人民币</v>
      </c>
      <c r="O3" s="8" t="str">
        <f>"300100052893"</f>
        <v>300100052893</v>
      </c>
    </row>
    <row r="4" spans="1:15">
      <c r="A4" s="8" t="str">
        <f>"20130320"</f>
        <v>20130320</v>
      </c>
      <c r="B4" s="8" t="str">
        <f>"20130320"</f>
        <v>20130320</v>
      </c>
      <c r="C4" s="8" t="str">
        <f>"利息归本"</f>
        <v>利息归本</v>
      </c>
      <c r="F4" s="8">
        <v>0</v>
      </c>
      <c r="G4" s="8">
        <v>0</v>
      </c>
      <c r="H4" s="8">
        <v>0</v>
      </c>
      <c r="I4" s="8">
        <v>1.32</v>
      </c>
      <c r="J4" s="8">
        <v>9.38</v>
      </c>
      <c r="K4" s="8">
        <v>0</v>
      </c>
      <c r="L4" s="8" t="str">
        <f>"人民币"</f>
        <v>人民币</v>
      </c>
      <c r="O4" s="8" t="str">
        <f>"300100052893"</f>
        <v>300100052893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A2" sqref="A2:K6"/>
    </sheetView>
  </sheetViews>
  <sheetFormatPr defaultColWidth="9" defaultRowHeight="13.5" outlineLevelRow="5"/>
  <cols>
    <col min="1" max="16384" width="9" style="8"/>
  </cols>
  <sheetData>
    <row r="1" spans="1:15">
      <c r="A1" s="8" t="str">
        <f>"成交日期"</f>
        <v>成交日期</v>
      </c>
      <c r="B1" s="8" t="str">
        <f>"委托日期"</f>
        <v>委托日期</v>
      </c>
      <c r="C1" s="8" t="str">
        <f>"业务类型"</f>
        <v>业务类型</v>
      </c>
      <c r="D1" s="8" t="str">
        <f>"证券代码"</f>
        <v>证券代码</v>
      </c>
      <c r="E1" s="8" t="str">
        <f>"证券名称"</f>
        <v>证券名称</v>
      </c>
      <c r="F1" s="8" t="str">
        <f>"成交价格"</f>
        <v>成交价格</v>
      </c>
      <c r="G1" s="8" t="str">
        <f>"成交数量"</f>
        <v>成交数量</v>
      </c>
      <c r="H1" s="8" t="str">
        <f>"成交金额"</f>
        <v>成交金额</v>
      </c>
      <c r="I1" s="8" t="str">
        <f>"发生金额"</f>
        <v>发生金额</v>
      </c>
      <c r="J1" s="8" t="str">
        <f>"资金余额"</f>
        <v>资金余额</v>
      </c>
      <c r="K1" s="8" t="str">
        <f>"当前持仓"</f>
        <v>当前持仓</v>
      </c>
      <c r="L1" s="8" t="str">
        <f>"币种"</f>
        <v>币种</v>
      </c>
      <c r="M1" s="8" t="str">
        <f>"协议编号"</f>
        <v>协议编号</v>
      </c>
      <c r="N1" s="8" t="str">
        <f>"股东代码"</f>
        <v>股东代码</v>
      </c>
      <c r="O1" s="8" t="str">
        <f>"产品账号"</f>
        <v>产品账号</v>
      </c>
    </row>
    <row r="2" spans="1:15">
      <c r="A2" s="8" t="str">
        <f>"20130520"</f>
        <v>20130520</v>
      </c>
      <c r="B2" s="8" t="str">
        <f>"20130520"</f>
        <v>20130520</v>
      </c>
      <c r="C2" s="8" t="str">
        <f>"证券卖出"</f>
        <v>证券卖出</v>
      </c>
      <c r="D2" s="8" t="str">
        <f>"600583"</f>
        <v>600583</v>
      </c>
      <c r="E2" s="8" t="str">
        <f>"海油工程"</f>
        <v>海油工程</v>
      </c>
      <c r="F2" s="8">
        <v>7.5</v>
      </c>
      <c r="G2" s="8">
        <v>700</v>
      </c>
      <c r="H2" s="8">
        <v>5250</v>
      </c>
      <c r="I2" s="8">
        <v>5238.55</v>
      </c>
      <c r="J2" s="8">
        <v>5247.93</v>
      </c>
      <c r="K2" s="8">
        <v>0</v>
      </c>
      <c r="L2" s="8" t="str">
        <f t="shared" ref="L2:L6" si="0">"人民币"</f>
        <v>人民币</v>
      </c>
      <c r="M2" s="8" t="str">
        <f>"1361002978"</f>
        <v>1361002978</v>
      </c>
      <c r="N2" s="8" t="str">
        <f>"A368402599"</f>
        <v>A368402599</v>
      </c>
      <c r="O2" s="8" t="str">
        <f t="shared" ref="O2:O6" si="1">"300100052893"</f>
        <v>300100052893</v>
      </c>
    </row>
    <row r="3" spans="1:15">
      <c r="A3" s="8" t="str">
        <f>"20130613"</f>
        <v>20130613</v>
      </c>
      <c r="B3" s="8" t="str">
        <f>"20130613"</f>
        <v>20130613</v>
      </c>
      <c r="C3" s="8" t="str">
        <f>"证券转银行"</f>
        <v>证券转银行</v>
      </c>
      <c r="F3" s="8">
        <v>0</v>
      </c>
      <c r="G3" s="8">
        <v>0</v>
      </c>
      <c r="H3" s="8">
        <v>0</v>
      </c>
      <c r="I3" s="8">
        <v>-1000</v>
      </c>
      <c r="J3" s="8">
        <v>4247.93</v>
      </c>
      <c r="K3" s="8">
        <v>0</v>
      </c>
      <c r="L3" s="8" t="str">
        <f t="shared" si="0"/>
        <v>人民币</v>
      </c>
      <c r="O3" s="8" t="str">
        <f t="shared" si="1"/>
        <v>300100052893</v>
      </c>
    </row>
    <row r="4" spans="1:15">
      <c r="A4" s="8" t="str">
        <f>"20130618"</f>
        <v>20130618</v>
      </c>
      <c r="B4" s="8" t="str">
        <f>"20130618"</f>
        <v>20130618</v>
      </c>
      <c r="C4" s="8" t="str">
        <f>"银行转证券"</f>
        <v>银行转证券</v>
      </c>
      <c r="F4" s="8">
        <v>0</v>
      </c>
      <c r="G4" s="8">
        <v>0</v>
      </c>
      <c r="H4" s="8">
        <v>0</v>
      </c>
      <c r="I4" s="8">
        <v>2000</v>
      </c>
      <c r="J4" s="8">
        <v>6247.93</v>
      </c>
      <c r="K4" s="8">
        <v>0</v>
      </c>
      <c r="L4" s="8" t="str">
        <f t="shared" si="0"/>
        <v>人民币</v>
      </c>
      <c r="O4" s="8" t="str">
        <f t="shared" si="1"/>
        <v>300100052893</v>
      </c>
    </row>
    <row r="5" spans="1:15">
      <c r="A5" s="8" t="str">
        <f>"20130620"</f>
        <v>20130620</v>
      </c>
      <c r="B5" s="8" t="str">
        <f>"20130620"</f>
        <v>20130620</v>
      </c>
      <c r="C5" s="8" t="str">
        <f>"利息归本"</f>
        <v>利息归本</v>
      </c>
      <c r="F5" s="8">
        <v>0</v>
      </c>
      <c r="G5" s="8">
        <v>0</v>
      </c>
      <c r="H5" s="8">
        <v>0</v>
      </c>
      <c r="I5" s="8">
        <v>1.46</v>
      </c>
      <c r="J5" s="8">
        <v>6249.39</v>
      </c>
      <c r="K5" s="8">
        <v>0</v>
      </c>
      <c r="L5" s="8" t="str">
        <f t="shared" si="0"/>
        <v>人民币</v>
      </c>
      <c r="O5" s="8" t="str">
        <f t="shared" si="1"/>
        <v>300100052893</v>
      </c>
    </row>
    <row r="6" spans="1:15">
      <c r="A6" s="8" t="str">
        <f>"20130626"</f>
        <v>20130626</v>
      </c>
      <c r="B6" s="8" t="str">
        <f>"20130626"</f>
        <v>20130626</v>
      </c>
      <c r="C6" s="8" t="str">
        <f>"证券转银行"</f>
        <v>证券转银行</v>
      </c>
      <c r="F6" s="8">
        <v>0</v>
      </c>
      <c r="G6" s="8">
        <v>0</v>
      </c>
      <c r="H6" s="8">
        <v>0</v>
      </c>
      <c r="I6" s="8">
        <v>-366.66</v>
      </c>
      <c r="J6" s="8">
        <v>5882.73</v>
      </c>
      <c r="K6" s="8">
        <v>0</v>
      </c>
      <c r="L6" s="8" t="str">
        <f t="shared" si="0"/>
        <v>人民币</v>
      </c>
      <c r="O6" s="8" t="str">
        <f t="shared" si="1"/>
        <v>300100052893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topLeftCell="A21" workbookViewId="0">
      <selection activeCell="A2" sqref="A2:K37"/>
    </sheetView>
  </sheetViews>
  <sheetFormatPr defaultColWidth="9" defaultRowHeight="13.5"/>
  <cols>
    <col min="1" max="16384" width="9" style="8"/>
  </cols>
  <sheetData>
    <row r="1" spans="1:15">
      <c r="A1" s="8" t="str">
        <f>"成交日期"</f>
        <v>成交日期</v>
      </c>
      <c r="B1" s="8" t="str">
        <f>"委托日期"</f>
        <v>委托日期</v>
      </c>
      <c r="C1" s="8" t="str">
        <f>"业务类型"</f>
        <v>业务类型</v>
      </c>
      <c r="D1" s="8" t="str">
        <f>"证券代码"</f>
        <v>证券代码</v>
      </c>
      <c r="E1" s="8" t="str">
        <f>"证券名称"</f>
        <v>证券名称</v>
      </c>
      <c r="F1" s="8" t="str">
        <f>"成交价格"</f>
        <v>成交价格</v>
      </c>
      <c r="G1" s="8" t="str">
        <f>"成交数量"</f>
        <v>成交数量</v>
      </c>
      <c r="H1" s="8" t="str">
        <f>"成交金额"</f>
        <v>成交金额</v>
      </c>
      <c r="I1" s="8" t="str">
        <f>"发生金额"</f>
        <v>发生金额</v>
      </c>
      <c r="J1" s="8" t="str">
        <f>"资金余额"</f>
        <v>资金余额</v>
      </c>
      <c r="K1" s="8" t="str">
        <f>"当前持仓"</f>
        <v>当前持仓</v>
      </c>
      <c r="L1" s="8" t="str">
        <f>"币种"</f>
        <v>币种</v>
      </c>
      <c r="M1" s="8" t="str">
        <f>"协议编号"</f>
        <v>协议编号</v>
      </c>
      <c r="N1" s="8" t="str">
        <f>"股东代码"</f>
        <v>股东代码</v>
      </c>
      <c r="O1" s="8" t="str">
        <f>"产品账号"</f>
        <v>产品账号</v>
      </c>
    </row>
    <row r="2" spans="1:15">
      <c r="A2" s="8" t="str">
        <f>"20130716"</f>
        <v>20130716</v>
      </c>
      <c r="B2" s="8" t="str">
        <f>"20130716"</f>
        <v>20130716</v>
      </c>
      <c r="C2" s="8" t="str">
        <f>"证券买入"</f>
        <v>证券买入</v>
      </c>
      <c r="D2" s="8" t="str">
        <f>"002500"</f>
        <v>002500</v>
      </c>
      <c r="E2" s="8" t="str">
        <f>"山西证券"</f>
        <v>山西证券</v>
      </c>
      <c r="F2" s="8">
        <v>6.54</v>
      </c>
      <c r="G2" s="8">
        <v>500</v>
      </c>
      <c r="H2" s="8">
        <v>3270</v>
      </c>
      <c r="I2" s="8">
        <v>-3275</v>
      </c>
      <c r="J2" s="8">
        <v>2607.73</v>
      </c>
      <c r="K2" s="8">
        <v>500</v>
      </c>
      <c r="L2" s="8" t="str">
        <f t="shared" ref="L2:L37" si="0">"人民币"</f>
        <v>人民币</v>
      </c>
      <c r="M2" s="8" t="str">
        <f>"T4002440"</f>
        <v>T4002440</v>
      </c>
      <c r="N2" s="8" t="str">
        <f t="shared" ref="N2:N7" si="1">"0149593788"</f>
        <v>0149593788</v>
      </c>
      <c r="O2" s="8" t="str">
        <f t="shared" ref="O2:O37" si="2">"300100052893"</f>
        <v>300100052893</v>
      </c>
    </row>
    <row r="3" spans="1:15">
      <c r="A3" s="8" t="str">
        <f>"20130724"</f>
        <v>20130724</v>
      </c>
      <c r="B3" s="8" t="str">
        <f>"20130724"</f>
        <v>20130724</v>
      </c>
      <c r="C3" s="8" t="str">
        <f>"证券转银行"</f>
        <v>证券转银行</v>
      </c>
      <c r="F3" s="8">
        <v>0</v>
      </c>
      <c r="G3" s="8">
        <v>0</v>
      </c>
      <c r="H3" s="8">
        <v>0</v>
      </c>
      <c r="I3" s="8">
        <v>-66.47</v>
      </c>
      <c r="J3" s="8">
        <v>2541.26</v>
      </c>
      <c r="K3" s="8">
        <v>0</v>
      </c>
      <c r="L3" s="8" t="str">
        <f t="shared" si="0"/>
        <v>人民币</v>
      </c>
      <c r="O3" s="8" t="str">
        <f t="shared" si="2"/>
        <v>300100052893</v>
      </c>
    </row>
    <row r="4" spans="1:15">
      <c r="A4" s="8" t="str">
        <f>"20130802"</f>
        <v>20130802</v>
      </c>
      <c r="B4" s="8" t="str">
        <f>"20130802"</f>
        <v>20130802</v>
      </c>
      <c r="C4" s="8" t="str">
        <f t="shared" ref="C4:C10" si="3">"融券回购"</f>
        <v>融券回购</v>
      </c>
      <c r="D4" s="8" t="str">
        <f t="shared" ref="D4:D7" si="4">"131801"</f>
        <v>131801</v>
      </c>
      <c r="E4" s="8" t="str">
        <f t="shared" ref="E4:E7" si="5">"Ｒ-007"</f>
        <v>Ｒ-007</v>
      </c>
      <c r="F4" s="8">
        <v>3.6</v>
      </c>
      <c r="G4" s="8">
        <v>10</v>
      </c>
      <c r="H4" s="8">
        <v>1000</v>
      </c>
      <c r="I4" s="8">
        <v>-1000.1</v>
      </c>
      <c r="J4" s="8">
        <v>1541.16</v>
      </c>
      <c r="K4" s="8">
        <v>0</v>
      </c>
      <c r="L4" s="8" t="str">
        <f t="shared" si="0"/>
        <v>人民币</v>
      </c>
      <c r="M4" s="8" t="str">
        <f>"T4002646"</f>
        <v>T4002646</v>
      </c>
      <c r="N4" s="8" t="str">
        <f t="shared" si="1"/>
        <v>0149593788</v>
      </c>
      <c r="O4" s="8" t="str">
        <f t="shared" si="2"/>
        <v>300100052893</v>
      </c>
    </row>
    <row r="5" spans="1:15">
      <c r="A5" s="8" t="str">
        <f>"20130805"</f>
        <v>20130805</v>
      </c>
      <c r="B5" s="8" t="str">
        <f>"20130805"</f>
        <v>20130805</v>
      </c>
      <c r="C5" s="8" t="str">
        <f t="shared" si="3"/>
        <v>融券回购</v>
      </c>
      <c r="D5" s="8" t="str">
        <f t="shared" si="4"/>
        <v>131801</v>
      </c>
      <c r="E5" s="8" t="str">
        <f t="shared" si="5"/>
        <v>Ｒ-007</v>
      </c>
      <c r="F5" s="8">
        <v>3.72</v>
      </c>
      <c r="G5" s="8">
        <v>10</v>
      </c>
      <c r="H5" s="8">
        <v>1000</v>
      </c>
      <c r="I5" s="8">
        <v>-1000.1</v>
      </c>
      <c r="J5" s="8">
        <v>541.06</v>
      </c>
      <c r="K5" s="8">
        <v>0</v>
      </c>
      <c r="L5" s="8" t="str">
        <f t="shared" si="0"/>
        <v>人民币</v>
      </c>
      <c r="M5" s="8" t="str">
        <f>"T4003810"</f>
        <v>T4003810</v>
      </c>
      <c r="N5" s="8" t="str">
        <f t="shared" si="1"/>
        <v>0149593788</v>
      </c>
      <c r="O5" s="8" t="str">
        <f t="shared" si="2"/>
        <v>300100052893</v>
      </c>
    </row>
    <row r="6" spans="1:15">
      <c r="A6" s="8" t="str">
        <f>"20130809"</f>
        <v>20130809</v>
      </c>
      <c r="B6" s="8" t="str">
        <f>"20130802"</f>
        <v>20130802</v>
      </c>
      <c r="C6" s="8" t="str">
        <f>"融券购回"</f>
        <v>融券购回</v>
      </c>
      <c r="D6" s="8" t="str">
        <f t="shared" si="4"/>
        <v>131801</v>
      </c>
      <c r="E6" s="8" t="str">
        <f t="shared" si="5"/>
        <v>Ｒ-007</v>
      </c>
      <c r="F6" s="8">
        <v>3.6</v>
      </c>
      <c r="G6" s="8">
        <v>10</v>
      </c>
      <c r="H6" s="8">
        <v>1000.69</v>
      </c>
      <c r="I6" s="8">
        <v>1000.69</v>
      </c>
      <c r="J6" s="8">
        <v>1541.75</v>
      </c>
      <c r="K6" s="8">
        <v>0</v>
      </c>
      <c r="L6" s="8" t="str">
        <f t="shared" si="0"/>
        <v>人民币</v>
      </c>
      <c r="M6" s="8" t="str">
        <f>"T4002646"</f>
        <v>T4002646</v>
      </c>
      <c r="N6" s="8" t="str">
        <f t="shared" si="1"/>
        <v>0149593788</v>
      </c>
      <c r="O6" s="8" t="str">
        <f t="shared" si="2"/>
        <v>300100052893</v>
      </c>
    </row>
    <row r="7" spans="1:15">
      <c r="A7" s="8" t="str">
        <f>"20130812"</f>
        <v>20130812</v>
      </c>
      <c r="B7" s="8" t="str">
        <f>"20130805"</f>
        <v>20130805</v>
      </c>
      <c r="C7" s="8" t="str">
        <f>"融券购回"</f>
        <v>融券购回</v>
      </c>
      <c r="D7" s="8" t="str">
        <f t="shared" si="4"/>
        <v>131801</v>
      </c>
      <c r="E7" s="8" t="str">
        <f t="shared" si="5"/>
        <v>Ｒ-007</v>
      </c>
      <c r="F7" s="8">
        <v>3.72</v>
      </c>
      <c r="G7" s="8">
        <v>10</v>
      </c>
      <c r="H7" s="8">
        <v>1000.71</v>
      </c>
      <c r="I7" s="8">
        <v>1000.71</v>
      </c>
      <c r="J7" s="8">
        <v>2542.46</v>
      </c>
      <c r="K7" s="8">
        <v>0</v>
      </c>
      <c r="L7" s="8" t="str">
        <f t="shared" si="0"/>
        <v>人民币</v>
      </c>
      <c r="M7" s="8" t="str">
        <f>"T4003810"</f>
        <v>T4003810</v>
      </c>
      <c r="N7" s="8" t="str">
        <f t="shared" si="1"/>
        <v>0149593788</v>
      </c>
      <c r="O7" s="8" t="str">
        <f t="shared" si="2"/>
        <v>300100052893</v>
      </c>
    </row>
    <row r="8" spans="1:15">
      <c r="A8" s="8" t="str">
        <f>"20130819"</f>
        <v>20130819</v>
      </c>
      <c r="B8" s="8" t="str">
        <f>"20130819"</f>
        <v>20130819</v>
      </c>
      <c r="C8" s="8" t="str">
        <f t="shared" ref="C8:C13" si="6">"银行转证券"</f>
        <v>银行转证券</v>
      </c>
      <c r="F8" s="8">
        <v>0</v>
      </c>
      <c r="G8" s="8">
        <v>0</v>
      </c>
      <c r="H8" s="8">
        <v>0</v>
      </c>
      <c r="I8" s="8">
        <v>2000</v>
      </c>
      <c r="J8" s="8">
        <v>4542.46</v>
      </c>
      <c r="K8" s="8">
        <v>0</v>
      </c>
      <c r="L8" s="8" t="str">
        <f t="shared" si="0"/>
        <v>人民币</v>
      </c>
      <c r="O8" s="8" t="str">
        <f t="shared" si="2"/>
        <v>300100052893</v>
      </c>
    </row>
    <row r="9" spans="1:15">
      <c r="A9" s="8" t="str">
        <f>"20130819"</f>
        <v>20130819</v>
      </c>
      <c r="B9" s="8" t="str">
        <f>"20130819"</f>
        <v>20130819</v>
      </c>
      <c r="C9" s="8" t="str">
        <f t="shared" si="3"/>
        <v>融券回购</v>
      </c>
      <c r="D9" s="8" t="str">
        <f>"131802"</f>
        <v>131802</v>
      </c>
      <c r="E9" s="8" t="str">
        <f>"Ｒ-014"</f>
        <v>Ｒ-014</v>
      </c>
      <c r="F9" s="8">
        <v>4.134</v>
      </c>
      <c r="G9" s="8">
        <v>20</v>
      </c>
      <c r="H9" s="8">
        <v>2000</v>
      </c>
      <c r="I9" s="8">
        <v>-2000.2</v>
      </c>
      <c r="J9" s="8">
        <v>2542.26</v>
      </c>
      <c r="K9" s="8">
        <v>0</v>
      </c>
      <c r="L9" s="8" t="str">
        <f t="shared" si="0"/>
        <v>人民币</v>
      </c>
      <c r="M9" s="8" t="str">
        <f>"T4001433"</f>
        <v>T4001433</v>
      </c>
      <c r="N9" s="8" t="str">
        <f t="shared" ref="N9:N12" si="7">"0149593788"</f>
        <v>0149593788</v>
      </c>
      <c r="O9" s="8" t="str">
        <f t="shared" si="2"/>
        <v>300100052893</v>
      </c>
    </row>
    <row r="10" spans="1:15">
      <c r="A10" s="8" t="str">
        <f>"20130821"</f>
        <v>20130821</v>
      </c>
      <c r="B10" s="8" t="str">
        <f>"20130821"</f>
        <v>20130821</v>
      </c>
      <c r="C10" s="8" t="str">
        <f t="shared" si="3"/>
        <v>融券回购</v>
      </c>
      <c r="D10" s="8" t="str">
        <f>"131802"</f>
        <v>131802</v>
      </c>
      <c r="E10" s="8" t="str">
        <f>"Ｒ-014"</f>
        <v>Ｒ-014</v>
      </c>
      <c r="F10" s="8">
        <v>4.2</v>
      </c>
      <c r="G10" s="8">
        <v>10</v>
      </c>
      <c r="H10" s="8">
        <v>1000</v>
      </c>
      <c r="I10" s="8">
        <v>-1000.1</v>
      </c>
      <c r="J10" s="8">
        <v>1542.16</v>
      </c>
      <c r="K10" s="8">
        <v>0</v>
      </c>
      <c r="L10" s="8" t="str">
        <f t="shared" si="0"/>
        <v>人民币</v>
      </c>
      <c r="M10" s="8" t="str">
        <f>"T4002039"</f>
        <v>T4002039</v>
      </c>
      <c r="N10" s="8" t="str">
        <f t="shared" si="7"/>
        <v>0149593788</v>
      </c>
      <c r="O10" s="8" t="str">
        <f t="shared" si="2"/>
        <v>300100052893</v>
      </c>
    </row>
    <row r="11" spans="1:15">
      <c r="A11" s="8" t="str">
        <f>"20130826"</f>
        <v>20130826</v>
      </c>
      <c r="B11" s="8" t="str">
        <f>"20130826"</f>
        <v>20130826</v>
      </c>
      <c r="C11" s="8" t="str">
        <f t="shared" si="6"/>
        <v>银行转证券</v>
      </c>
      <c r="F11" s="8">
        <v>0</v>
      </c>
      <c r="G11" s="8">
        <v>0</v>
      </c>
      <c r="H11" s="8">
        <v>0</v>
      </c>
      <c r="I11" s="8">
        <v>2000</v>
      </c>
      <c r="J11" s="8">
        <v>3542.16</v>
      </c>
      <c r="K11" s="8">
        <v>0</v>
      </c>
      <c r="L11" s="8" t="str">
        <f t="shared" si="0"/>
        <v>人民币</v>
      </c>
      <c r="O11" s="8" t="str">
        <f t="shared" si="2"/>
        <v>300100052893</v>
      </c>
    </row>
    <row r="12" spans="1:15">
      <c r="A12" s="8" t="str">
        <f>"20130826"</f>
        <v>20130826</v>
      </c>
      <c r="B12" s="8" t="str">
        <f>"20130826"</f>
        <v>20130826</v>
      </c>
      <c r="C12" s="8" t="str">
        <f>"融券回购"</f>
        <v>融券回购</v>
      </c>
      <c r="D12" s="8" t="str">
        <f>"131801"</f>
        <v>131801</v>
      </c>
      <c r="E12" s="8" t="str">
        <f>"Ｒ-007"</f>
        <v>Ｒ-007</v>
      </c>
      <c r="F12" s="8">
        <v>4.5</v>
      </c>
      <c r="G12" s="8">
        <v>20</v>
      </c>
      <c r="H12" s="8">
        <v>2000</v>
      </c>
      <c r="I12" s="8">
        <v>-2000.1</v>
      </c>
      <c r="J12" s="8">
        <v>1542.06</v>
      </c>
      <c r="K12" s="8">
        <v>0</v>
      </c>
      <c r="L12" s="8" t="str">
        <f t="shared" si="0"/>
        <v>人民币</v>
      </c>
      <c r="M12" s="8" t="str">
        <f>"T4002480"</f>
        <v>T4002480</v>
      </c>
      <c r="N12" s="8" t="str">
        <f t="shared" si="7"/>
        <v>0149593788</v>
      </c>
      <c r="O12" s="8" t="str">
        <f t="shared" si="2"/>
        <v>300100052893</v>
      </c>
    </row>
    <row r="13" spans="1:15">
      <c r="A13" s="8" t="str">
        <f>"20130829"</f>
        <v>20130829</v>
      </c>
      <c r="B13" s="8" t="str">
        <f>"20130829"</f>
        <v>20130829</v>
      </c>
      <c r="C13" s="8" t="str">
        <f t="shared" si="6"/>
        <v>银行转证券</v>
      </c>
      <c r="F13" s="8">
        <v>0</v>
      </c>
      <c r="G13" s="8">
        <v>0</v>
      </c>
      <c r="H13" s="8">
        <v>0</v>
      </c>
      <c r="I13" s="8">
        <v>8500</v>
      </c>
      <c r="J13" s="8">
        <v>10042.06</v>
      </c>
      <c r="K13" s="8">
        <v>0</v>
      </c>
      <c r="L13" s="8" t="str">
        <f t="shared" si="0"/>
        <v>人民币</v>
      </c>
      <c r="O13" s="8" t="str">
        <f t="shared" si="2"/>
        <v>300100052893</v>
      </c>
    </row>
    <row r="14" spans="1:15">
      <c r="A14" s="8" t="str">
        <f>"20130829"</f>
        <v>20130829</v>
      </c>
      <c r="B14" s="8" t="str">
        <f>"20130829"</f>
        <v>20130829</v>
      </c>
      <c r="C14" s="8" t="str">
        <f t="shared" ref="C14:C18" si="8">"证券买入"</f>
        <v>证券买入</v>
      </c>
      <c r="D14" s="8" t="str">
        <f>"002609"</f>
        <v>002609</v>
      </c>
      <c r="E14" s="8" t="str">
        <f>"捷顺科技"</f>
        <v>捷顺科技</v>
      </c>
      <c r="F14" s="8">
        <v>14.93</v>
      </c>
      <c r="G14" s="8">
        <v>600</v>
      </c>
      <c r="H14" s="8">
        <v>8958</v>
      </c>
      <c r="I14" s="8">
        <v>-8967.85</v>
      </c>
      <c r="J14" s="8">
        <v>1074.21</v>
      </c>
      <c r="K14" s="8">
        <v>600</v>
      </c>
      <c r="L14" s="8" t="str">
        <f t="shared" si="0"/>
        <v>人民币</v>
      </c>
      <c r="M14" s="8" t="str">
        <f>"T4001061"</f>
        <v>T4001061</v>
      </c>
      <c r="N14" s="8" t="str">
        <f t="shared" ref="N14:N25" si="9">"0149593788"</f>
        <v>0149593788</v>
      </c>
      <c r="O14" s="8" t="str">
        <f t="shared" si="2"/>
        <v>300100052893</v>
      </c>
    </row>
    <row r="15" spans="1:15">
      <c r="A15" s="8" t="str">
        <f t="shared" ref="A15:A18" si="10">"20130830"</f>
        <v>20130830</v>
      </c>
      <c r="B15" s="8" t="str">
        <f t="shared" ref="B15:B18" si="11">"20130830"</f>
        <v>20130830</v>
      </c>
      <c r="C15" s="8" t="str">
        <f>"银行转证券"</f>
        <v>银行转证券</v>
      </c>
      <c r="F15" s="8">
        <v>0</v>
      </c>
      <c r="G15" s="8">
        <v>0</v>
      </c>
      <c r="H15" s="8">
        <v>0</v>
      </c>
      <c r="I15" s="8">
        <v>3000</v>
      </c>
      <c r="J15" s="8">
        <v>4074.21</v>
      </c>
      <c r="K15" s="8">
        <v>0</v>
      </c>
      <c r="L15" s="8" t="str">
        <f t="shared" si="0"/>
        <v>人民币</v>
      </c>
      <c r="O15" s="8" t="str">
        <f t="shared" si="2"/>
        <v>300100052893</v>
      </c>
    </row>
    <row r="16" spans="1:15">
      <c r="A16" s="8" t="str">
        <f t="shared" si="10"/>
        <v>20130830</v>
      </c>
      <c r="B16" s="8" t="str">
        <f t="shared" si="11"/>
        <v>20130830</v>
      </c>
      <c r="C16" s="8" t="str">
        <f>"证券卖出"</f>
        <v>证券卖出</v>
      </c>
      <c r="D16" s="8" t="str">
        <f>"002609"</f>
        <v>002609</v>
      </c>
      <c r="E16" s="8" t="str">
        <f>"捷顺科技"</f>
        <v>捷顺科技</v>
      </c>
      <c r="F16" s="8">
        <v>14.55</v>
      </c>
      <c r="G16" s="8">
        <v>600</v>
      </c>
      <c r="H16" s="8">
        <v>8730</v>
      </c>
      <c r="I16" s="8">
        <v>8711.67</v>
      </c>
      <c r="J16" s="8">
        <v>12785.88</v>
      </c>
      <c r="K16" s="8">
        <v>0</v>
      </c>
      <c r="L16" s="8" t="str">
        <f t="shared" si="0"/>
        <v>人民币</v>
      </c>
      <c r="M16" s="8" t="str">
        <f>"T4002826"</f>
        <v>T4002826</v>
      </c>
      <c r="N16" s="8" t="str">
        <f t="shared" si="9"/>
        <v>0149593788</v>
      </c>
      <c r="O16" s="8" t="str">
        <f t="shared" si="2"/>
        <v>300100052893</v>
      </c>
    </row>
    <row r="17" spans="1:15">
      <c r="A17" s="8" t="str">
        <f t="shared" si="10"/>
        <v>20130830</v>
      </c>
      <c r="B17" s="8" t="str">
        <f t="shared" si="11"/>
        <v>20130830</v>
      </c>
      <c r="C17" s="8" t="str">
        <f t="shared" si="8"/>
        <v>证券买入</v>
      </c>
      <c r="D17" s="8" t="str">
        <f>"000606"</f>
        <v>000606</v>
      </c>
      <c r="E17" s="8" t="str">
        <f>"青海明胶"</f>
        <v>青海明胶</v>
      </c>
      <c r="F17" s="8">
        <v>9.26</v>
      </c>
      <c r="G17" s="8">
        <v>700</v>
      </c>
      <c r="H17" s="8">
        <v>6482</v>
      </c>
      <c r="I17" s="8">
        <v>-6489.13</v>
      </c>
      <c r="J17" s="8">
        <v>6296.75</v>
      </c>
      <c r="K17" s="8">
        <v>700</v>
      </c>
      <c r="L17" s="8" t="str">
        <f t="shared" si="0"/>
        <v>人民币</v>
      </c>
      <c r="M17" s="8" t="str">
        <f>"T4002910"</f>
        <v>T4002910</v>
      </c>
      <c r="N17" s="8" t="str">
        <f t="shared" si="9"/>
        <v>0149593788</v>
      </c>
      <c r="O17" s="8" t="str">
        <f t="shared" si="2"/>
        <v>300100052893</v>
      </c>
    </row>
    <row r="18" spans="1:15">
      <c r="A18" s="8" t="str">
        <f t="shared" si="10"/>
        <v>20130830</v>
      </c>
      <c r="B18" s="8" t="str">
        <f t="shared" si="11"/>
        <v>20130830</v>
      </c>
      <c r="C18" s="8" t="str">
        <f t="shared" si="8"/>
        <v>证券买入</v>
      </c>
      <c r="D18" s="8" t="str">
        <f>"000606"</f>
        <v>000606</v>
      </c>
      <c r="E18" s="8" t="str">
        <f>"青海明胶"</f>
        <v>青海明胶</v>
      </c>
      <c r="F18" s="8">
        <v>9.15</v>
      </c>
      <c r="G18" s="8">
        <v>600</v>
      </c>
      <c r="H18" s="8">
        <v>5490</v>
      </c>
      <c r="I18" s="8">
        <v>-5496.04</v>
      </c>
      <c r="J18" s="8">
        <v>800.71</v>
      </c>
      <c r="K18" s="8">
        <v>1300</v>
      </c>
      <c r="L18" s="8" t="str">
        <f t="shared" si="0"/>
        <v>人民币</v>
      </c>
      <c r="M18" s="8" t="str">
        <f>"T4004772"</f>
        <v>T4004772</v>
      </c>
      <c r="N18" s="8" t="str">
        <f t="shared" si="9"/>
        <v>0149593788</v>
      </c>
      <c r="O18" s="8" t="str">
        <f t="shared" si="2"/>
        <v>300100052893</v>
      </c>
    </row>
    <row r="19" spans="1:15">
      <c r="A19" s="8" t="str">
        <f>"20130902"</f>
        <v>20130902</v>
      </c>
      <c r="B19" s="8" t="str">
        <f>"20130819"</f>
        <v>20130819</v>
      </c>
      <c r="C19" s="8" t="str">
        <f t="shared" ref="C19:C21" si="12">"融券购回"</f>
        <v>融券购回</v>
      </c>
      <c r="D19" s="8" t="str">
        <f>"131802"</f>
        <v>131802</v>
      </c>
      <c r="E19" s="8" t="str">
        <f>"Ｒ-014"</f>
        <v>Ｒ-014</v>
      </c>
      <c r="F19" s="8">
        <v>4.134</v>
      </c>
      <c r="G19" s="8">
        <v>20</v>
      </c>
      <c r="H19" s="8">
        <v>2003.17</v>
      </c>
      <c r="I19" s="8">
        <v>2003.17</v>
      </c>
      <c r="J19" s="8">
        <v>2803.88</v>
      </c>
      <c r="K19" s="8">
        <v>0</v>
      </c>
      <c r="L19" s="8" t="str">
        <f t="shared" si="0"/>
        <v>人民币</v>
      </c>
      <c r="M19" s="8" t="str">
        <f>"T4001433"</f>
        <v>T4001433</v>
      </c>
      <c r="N19" s="8" t="str">
        <f t="shared" si="9"/>
        <v>0149593788</v>
      </c>
      <c r="O19" s="8" t="str">
        <f t="shared" si="2"/>
        <v>300100052893</v>
      </c>
    </row>
    <row r="20" spans="1:15">
      <c r="A20" s="8" t="str">
        <f>"20130902"</f>
        <v>20130902</v>
      </c>
      <c r="B20" s="8" t="str">
        <f>"20130826"</f>
        <v>20130826</v>
      </c>
      <c r="C20" s="8" t="str">
        <f t="shared" si="12"/>
        <v>融券购回</v>
      </c>
      <c r="D20" s="8" t="str">
        <f>"131801"</f>
        <v>131801</v>
      </c>
      <c r="E20" s="8" t="str">
        <f>"Ｒ-007"</f>
        <v>Ｒ-007</v>
      </c>
      <c r="F20" s="8">
        <v>4.5</v>
      </c>
      <c r="G20" s="8">
        <v>20</v>
      </c>
      <c r="H20" s="8">
        <v>2001.73</v>
      </c>
      <c r="I20" s="8">
        <v>2001.73</v>
      </c>
      <c r="J20" s="8">
        <v>4805.61</v>
      </c>
      <c r="K20" s="8">
        <v>0</v>
      </c>
      <c r="L20" s="8" t="str">
        <f t="shared" si="0"/>
        <v>人民币</v>
      </c>
      <c r="M20" s="8" t="str">
        <f>"T4002480"</f>
        <v>T4002480</v>
      </c>
      <c r="N20" s="8" t="str">
        <f t="shared" si="9"/>
        <v>0149593788</v>
      </c>
      <c r="O20" s="8" t="str">
        <f t="shared" si="2"/>
        <v>300100052893</v>
      </c>
    </row>
    <row r="21" spans="1:15">
      <c r="A21" s="8" t="str">
        <f>"20130904"</f>
        <v>20130904</v>
      </c>
      <c r="B21" s="8" t="str">
        <f>"20130821"</f>
        <v>20130821</v>
      </c>
      <c r="C21" s="8" t="str">
        <f t="shared" si="12"/>
        <v>融券购回</v>
      </c>
      <c r="D21" s="8" t="str">
        <f>"131802"</f>
        <v>131802</v>
      </c>
      <c r="E21" s="8" t="str">
        <f>"Ｒ-014"</f>
        <v>Ｒ-014</v>
      </c>
      <c r="F21" s="8">
        <v>4.2</v>
      </c>
      <c r="G21" s="8">
        <v>10</v>
      </c>
      <c r="H21" s="8">
        <v>1001.61</v>
      </c>
      <c r="I21" s="8">
        <v>1001.61</v>
      </c>
      <c r="J21" s="8">
        <v>5807.22</v>
      </c>
      <c r="K21" s="8">
        <v>0</v>
      </c>
      <c r="L21" s="8" t="str">
        <f t="shared" si="0"/>
        <v>人民币</v>
      </c>
      <c r="M21" s="8" t="str">
        <f>"T4002039"</f>
        <v>T4002039</v>
      </c>
      <c r="N21" s="8" t="str">
        <f t="shared" si="9"/>
        <v>0149593788</v>
      </c>
      <c r="O21" s="8" t="str">
        <f t="shared" si="2"/>
        <v>300100052893</v>
      </c>
    </row>
    <row r="22" spans="1:15">
      <c r="A22" s="8" t="str">
        <f>"20130904"</f>
        <v>20130904</v>
      </c>
      <c r="B22" s="8" t="str">
        <f>"20130904"</f>
        <v>20130904</v>
      </c>
      <c r="C22" s="8" t="str">
        <f>"证券买入"</f>
        <v>证券买入</v>
      </c>
      <c r="D22" s="8" t="str">
        <f>"002500"</f>
        <v>002500</v>
      </c>
      <c r="E22" s="8" t="str">
        <f>"山西证券"</f>
        <v>山西证券</v>
      </c>
      <c r="F22" s="8">
        <v>6.62</v>
      </c>
      <c r="G22" s="8">
        <v>800</v>
      </c>
      <c r="H22" s="8">
        <v>5296</v>
      </c>
      <c r="I22" s="8">
        <v>-5301.83</v>
      </c>
      <c r="J22" s="8">
        <v>505.39</v>
      </c>
      <c r="K22" s="8">
        <v>1300</v>
      </c>
      <c r="L22" s="8" t="str">
        <f t="shared" si="0"/>
        <v>人民币</v>
      </c>
      <c r="M22" s="8" t="str">
        <f>"T4003892"</f>
        <v>T4003892</v>
      </c>
      <c r="N22" s="8" t="str">
        <f t="shared" si="9"/>
        <v>0149593788</v>
      </c>
      <c r="O22" s="8" t="str">
        <f t="shared" si="2"/>
        <v>300100052893</v>
      </c>
    </row>
    <row r="23" spans="1:15">
      <c r="A23" s="8" t="str">
        <f>"20130910"</f>
        <v>20130910</v>
      </c>
      <c r="B23" s="8" t="str">
        <f>"20130910"</f>
        <v>20130910</v>
      </c>
      <c r="C23" s="8" t="str">
        <f>"证券卖出"</f>
        <v>证券卖出</v>
      </c>
      <c r="D23" s="8" t="str">
        <f>"000606"</f>
        <v>000606</v>
      </c>
      <c r="E23" s="8" t="str">
        <f>"青海明胶"</f>
        <v>青海明胶</v>
      </c>
      <c r="F23" s="8">
        <v>9.4</v>
      </c>
      <c r="G23" s="8">
        <v>500</v>
      </c>
      <c r="H23" s="8">
        <v>4700</v>
      </c>
      <c r="I23" s="8">
        <v>4690.13</v>
      </c>
      <c r="J23" s="8">
        <v>5195.52</v>
      </c>
      <c r="K23" s="8">
        <v>800</v>
      </c>
      <c r="L23" s="8" t="str">
        <f t="shared" si="0"/>
        <v>人民币</v>
      </c>
      <c r="M23" s="8" t="str">
        <f>"T4000552"</f>
        <v>T4000552</v>
      </c>
      <c r="N23" s="8" t="str">
        <f t="shared" si="9"/>
        <v>0149593788</v>
      </c>
      <c r="O23" s="8" t="str">
        <f t="shared" si="2"/>
        <v>300100052893</v>
      </c>
    </row>
    <row r="24" spans="1:15">
      <c r="A24" s="8" t="str">
        <f>"20130911"</f>
        <v>20130911</v>
      </c>
      <c r="B24" s="8" t="str">
        <f t="shared" ref="B24:B29" si="13">"20130911"</f>
        <v>20130911</v>
      </c>
      <c r="C24" s="8" t="str">
        <f>"证券卖出"</f>
        <v>证券卖出</v>
      </c>
      <c r="D24" s="8" t="str">
        <f>"002500"</f>
        <v>002500</v>
      </c>
      <c r="E24" s="8" t="str">
        <f>"山西证券"</f>
        <v>山西证券</v>
      </c>
      <c r="F24" s="8">
        <v>7</v>
      </c>
      <c r="G24" s="8">
        <v>1300</v>
      </c>
      <c r="H24" s="8">
        <v>9100</v>
      </c>
      <c r="I24" s="8">
        <v>9080.89</v>
      </c>
      <c r="J24" s="8">
        <v>14276.41</v>
      </c>
      <c r="K24" s="8">
        <v>0</v>
      </c>
      <c r="L24" s="8" t="str">
        <f t="shared" si="0"/>
        <v>人民币</v>
      </c>
      <c r="M24" s="8" t="str">
        <f>"T4004956"</f>
        <v>T4004956</v>
      </c>
      <c r="N24" s="8" t="str">
        <f t="shared" si="9"/>
        <v>0149593788</v>
      </c>
      <c r="O24" s="8" t="str">
        <f t="shared" si="2"/>
        <v>300100052893</v>
      </c>
    </row>
    <row r="25" spans="1:15">
      <c r="A25" s="8" t="str">
        <f>"20130911"</f>
        <v>20130911</v>
      </c>
      <c r="B25" s="8" t="str">
        <f t="shared" si="13"/>
        <v>20130911</v>
      </c>
      <c r="C25" s="8" t="str">
        <f>"融券回购"</f>
        <v>融券回购</v>
      </c>
      <c r="D25" s="8" t="str">
        <f>"131801"</f>
        <v>131801</v>
      </c>
      <c r="E25" s="8" t="str">
        <f>"Ｒ-007"</f>
        <v>Ｒ-007</v>
      </c>
      <c r="F25" s="8">
        <v>4.81</v>
      </c>
      <c r="G25" s="8">
        <v>90</v>
      </c>
      <c r="H25" s="8">
        <v>9000</v>
      </c>
      <c r="I25" s="8">
        <v>-9000.45</v>
      </c>
      <c r="J25" s="8">
        <v>5275.96</v>
      </c>
      <c r="K25" s="8">
        <v>0</v>
      </c>
      <c r="L25" s="8" t="str">
        <f t="shared" si="0"/>
        <v>人民币</v>
      </c>
      <c r="M25" s="8" t="str">
        <f>"T4005260"</f>
        <v>T4005260</v>
      </c>
      <c r="N25" s="8" t="str">
        <f t="shared" si="9"/>
        <v>0149593788</v>
      </c>
      <c r="O25" s="8" t="str">
        <f t="shared" si="2"/>
        <v>300100052893</v>
      </c>
    </row>
    <row r="26" spans="1:15">
      <c r="A26" s="8" t="str">
        <f>"20130913"</f>
        <v>20130913</v>
      </c>
      <c r="B26" s="8" t="str">
        <f>"20130913"</f>
        <v>20130913</v>
      </c>
      <c r="C26" s="8" t="str">
        <f>"证券转银行"</f>
        <v>证券转银行</v>
      </c>
      <c r="F26" s="8">
        <v>0</v>
      </c>
      <c r="G26" s="8">
        <v>0</v>
      </c>
      <c r="H26" s="8">
        <v>0</v>
      </c>
      <c r="I26" s="8">
        <v>-1000</v>
      </c>
      <c r="J26" s="8">
        <v>4275.96</v>
      </c>
      <c r="K26" s="8">
        <v>0</v>
      </c>
      <c r="L26" s="8" t="str">
        <f t="shared" si="0"/>
        <v>人民币</v>
      </c>
      <c r="O26" s="8" t="str">
        <f t="shared" si="2"/>
        <v>300100052893</v>
      </c>
    </row>
    <row r="27" spans="1:15">
      <c r="A27" s="8" t="str">
        <f t="shared" ref="A27:A29" si="14">"20130918"</f>
        <v>20130918</v>
      </c>
      <c r="B27" s="8" t="str">
        <f>"20130918"</f>
        <v>20130918</v>
      </c>
      <c r="C27" s="8" t="str">
        <f>"证券转银行"</f>
        <v>证券转银行</v>
      </c>
      <c r="F27" s="8">
        <v>0</v>
      </c>
      <c r="G27" s="8">
        <v>0</v>
      </c>
      <c r="H27" s="8">
        <v>0</v>
      </c>
      <c r="I27" s="8">
        <v>-4000</v>
      </c>
      <c r="J27" s="8">
        <v>275.96</v>
      </c>
      <c r="K27" s="8">
        <v>0</v>
      </c>
      <c r="L27" s="8" t="str">
        <f t="shared" si="0"/>
        <v>人民币</v>
      </c>
      <c r="O27" s="8" t="str">
        <f t="shared" si="2"/>
        <v>300100052893</v>
      </c>
    </row>
    <row r="28" spans="1:15">
      <c r="A28" s="8" t="str">
        <f t="shared" si="14"/>
        <v>20130918</v>
      </c>
      <c r="B28" s="8" t="str">
        <f>"20130918"</f>
        <v>20130918</v>
      </c>
      <c r="C28" s="8" t="str">
        <f>"利息归本"</f>
        <v>利息归本</v>
      </c>
      <c r="F28" s="8">
        <v>0</v>
      </c>
      <c r="G28" s="8">
        <v>0</v>
      </c>
      <c r="H28" s="8">
        <v>0</v>
      </c>
      <c r="I28" s="8">
        <v>3.06</v>
      </c>
      <c r="J28" s="8">
        <v>279.02</v>
      </c>
      <c r="K28" s="8">
        <v>0</v>
      </c>
      <c r="L28" s="8" t="str">
        <f t="shared" si="0"/>
        <v>人民币</v>
      </c>
      <c r="O28" s="8" t="str">
        <f t="shared" si="2"/>
        <v>300100052893</v>
      </c>
    </row>
    <row r="29" spans="1:15">
      <c r="A29" s="8" t="str">
        <f t="shared" si="14"/>
        <v>20130918</v>
      </c>
      <c r="B29" s="8" t="str">
        <f t="shared" si="13"/>
        <v>20130911</v>
      </c>
      <c r="C29" s="8" t="str">
        <f>"融券购回"</f>
        <v>融券购回</v>
      </c>
      <c r="D29" s="8" t="str">
        <f>"131801"</f>
        <v>131801</v>
      </c>
      <c r="E29" s="8" t="str">
        <f>"Ｒ-007"</f>
        <v>Ｒ-007</v>
      </c>
      <c r="F29" s="8">
        <v>4.81</v>
      </c>
      <c r="G29" s="8">
        <v>90</v>
      </c>
      <c r="H29" s="8">
        <v>9008.3</v>
      </c>
      <c r="I29" s="8">
        <v>9008.3</v>
      </c>
      <c r="J29" s="8">
        <v>9287.32</v>
      </c>
      <c r="K29" s="8">
        <v>0</v>
      </c>
      <c r="L29" s="8" t="str">
        <f t="shared" si="0"/>
        <v>人民币</v>
      </c>
      <c r="M29" s="8" t="str">
        <f>"T4005260"</f>
        <v>T4005260</v>
      </c>
      <c r="N29" s="8" t="str">
        <f t="shared" ref="N29:N37" si="15">"0149593788"</f>
        <v>0149593788</v>
      </c>
      <c r="O29" s="8" t="str">
        <f t="shared" si="2"/>
        <v>300100052893</v>
      </c>
    </row>
    <row r="30" spans="1:15">
      <c r="A30" s="8" t="str">
        <f t="shared" ref="A30:A34" si="16">"20130923"</f>
        <v>20130923</v>
      </c>
      <c r="B30" s="8" t="str">
        <f t="shared" ref="B30:B34" si="17">"20130923"</f>
        <v>20130923</v>
      </c>
      <c r="C30" s="8" t="str">
        <f>"银行转证券"</f>
        <v>银行转证券</v>
      </c>
      <c r="F30" s="8">
        <v>0</v>
      </c>
      <c r="G30" s="8">
        <v>0</v>
      </c>
      <c r="H30" s="8">
        <v>0</v>
      </c>
      <c r="I30" s="8">
        <v>40000</v>
      </c>
      <c r="J30" s="8">
        <v>49287.32</v>
      </c>
      <c r="K30" s="8">
        <v>0</v>
      </c>
      <c r="L30" s="8" t="str">
        <f t="shared" si="0"/>
        <v>人民币</v>
      </c>
      <c r="O30" s="8" t="str">
        <f t="shared" si="2"/>
        <v>300100052893</v>
      </c>
    </row>
    <row r="31" spans="1:15">
      <c r="A31" s="8" t="str">
        <f t="shared" si="16"/>
        <v>20130923</v>
      </c>
      <c r="B31" s="8" t="str">
        <f t="shared" si="17"/>
        <v>20130923</v>
      </c>
      <c r="C31" s="8" t="str">
        <f t="shared" ref="C31:C34" si="18">"融券回购"</f>
        <v>融券回购</v>
      </c>
      <c r="D31" s="8" t="str">
        <f t="shared" ref="D31:D34" si="19">"131802"</f>
        <v>131802</v>
      </c>
      <c r="E31" s="8" t="str">
        <f t="shared" ref="E31:E34" si="20">"Ｒ-014"</f>
        <v>Ｒ-014</v>
      </c>
      <c r="F31" s="8">
        <v>4.61</v>
      </c>
      <c r="G31" s="8">
        <v>100</v>
      </c>
      <c r="H31" s="8">
        <v>10000</v>
      </c>
      <c r="I31" s="8">
        <v>-10001</v>
      </c>
      <c r="J31" s="8">
        <v>39286.32</v>
      </c>
      <c r="K31" s="8">
        <v>0</v>
      </c>
      <c r="L31" s="8" t="str">
        <f t="shared" si="0"/>
        <v>人民币</v>
      </c>
      <c r="M31" s="8" t="str">
        <f>"T4001544"</f>
        <v>T4001544</v>
      </c>
      <c r="N31" s="8" t="str">
        <f t="shared" si="15"/>
        <v>0149593788</v>
      </c>
      <c r="O31" s="8" t="str">
        <f t="shared" si="2"/>
        <v>300100052893</v>
      </c>
    </row>
    <row r="32" spans="1:15">
      <c r="A32" s="8" t="str">
        <f t="shared" si="16"/>
        <v>20130923</v>
      </c>
      <c r="B32" s="8" t="str">
        <f t="shared" si="17"/>
        <v>20130923</v>
      </c>
      <c r="C32" s="8" t="str">
        <f t="shared" si="18"/>
        <v>融券回购</v>
      </c>
      <c r="D32" s="8" t="str">
        <f>"131803"</f>
        <v>131803</v>
      </c>
      <c r="E32" s="8" t="str">
        <f>"Ｒ-028"</f>
        <v>Ｒ-028</v>
      </c>
      <c r="F32" s="8">
        <v>4.355</v>
      </c>
      <c r="G32" s="8">
        <v>50</v>
      </c>
      <c r="H32" s="8">
        <v>5000</v>
      </c>
      <c r="I32" s="8">
        <v>-5001</v>
      </c>
      <c r="J32" s="8">
        <v>34285.32</v>
      </c>
      <c r="K32" s="8">
        <v>0</v>
      </c>
      <c r="L32" s="8" t="str">
        <f t="shared" si="0"/>
        <v>人民币</v>
      </c>
      <c r="M32" s="8" t="str">
        <f>"T4002227"</f>
        <v>T4002227</v>
      </c>
      <c r="N32" s="8" t="str">
        <f t="shared" si="15"/>
        <v>0149593788</v>
      </c>
      <c r="O32" s="8" t="str">
        <f t="shared" si="2"/>
        <v>300100052893</v>
      </c>
    </row>
    <row r="33" spans="1:15">
      <c r="A33" s="8" t="str">
        <f t="shared" si="16"/>
        <v>20130923</v>
      </c>
      <c r="B33" s="8" t="str">
        <f t="shared" si="17"/>
        <v>20130923</v>
      </c>
      <c r="C33" s="8" t="str">
        <f t="shared" si="18"/>
        <v>融券回购</v>
      </c>
      <c r="D33" s="8" t="str">
        <f t="shared" si="19"/>
        <v>131802</v>
      </c>
      <c r="E33" s="8" t="str">
        <f t="shared" si="20"/>
        <v>Ｒ-014</v>
      </c>
      <c r="F33" s="8">
        <v>5.01</v>
      </c>
      <c r="G33" s="8">
        <v>100</v>
      </c>
      <c r="H33" s="8">
        <v>10000</v>
      </c>
      <c r="I33" s="8">
        <v>-10001</v>
      </c>
      <c r="J33" s="8">
        <v>24284.32</v>
      </c>
      <c r="K33" s="8">
        <v>0</v>
      </c>
      <c r="L33" s="8" t="str">
        <f t="shared" si="0"/>
        <v>人民币</v>
      </c>
      <c r="M33" s="8" t="str">
        <f>"T4003823"</f>
        <v>T4003823</v>
      </c>
      <c r="N33" s="8" t="str">
        <f t="shared" si="15"/>
        <v>0149593788</v>
      </c>
      <c r="O33" s="8" t="str">
        <f t="shared" si="2"/>
        <v>300100052893</v>
      </c>
    </row>
    <row r="34" spans="1:15">
      <c r="A34" s="8" t="str">
        <f t="shared" si="16"/>
        <v>20130923</v>
      </c>
      <c r="B34" s="8" t="str">
        <f t="shared" si="17"/>
        <v>20130923</v>
      </c>
      <c r="C34" s="8" t="str">
        <f t="shared" si="18"/>
        <v>融券回购</v>
      </c>
      <c r="D34" s="8" t="str">
        <f t="shared" si="19"/>
        <v>131802</v>
      </c>
      <c r="E34" s="8" t="str">
        <f t="shared" si="20"/>
        <v>Ｒ-014</v>
      </c>
      <c r="F34" s="8">
        <v>5.3</v>
      </c>
      <c r="G34" s="8">
        <v>100</v>
      </c>
      <c r="H34" s="8">
        <v>10000</v>
      </c>
      <c r="I34" s="8">
        <v>-10001</v>
      </c>
      <c r="J34" s="8">
        <v>14283.32</v>
      </c>
      <c r="K34" s="8">
        <v>0</v>
      </c>
      <c r="L34" s="8" t="str">
        <f t="shared" si="0"/>
        <v>人民币</v>
      </c>
      <c r="M34" s="8" t="str">
        <f>"T4003959"</f>
        <v>T4003959</v>
      </c>
      <c r="N34" s="8" t="str">
        <f t="shared" si="15"/>
        <v>0149593788</v>
      </c>
      <c r="O34" s="8" t="str">
        <f t="shared" si="2"/>
        <v>300100052893</v>
      </c>
    </row>
    <row r="35" spans="1:15">
      <c r="A35" s="8" t="str">
        <f>"20130924"</f>
        <v>20130924</v>
      </c>
      <c r="B35" s="8" t="str">
        <f>"20130924"</f>
        <v>20130924</v>
      </c>
      <c r="C35" s="8" t="str">
        <f t="shared" ref="C35:C37" si="21">"证券买入"</f>
        <v>证券买入</v>
      </c>
      <c r="D35" s="8" t="str">
        <f t="shared" ref="D35:D37" si="22">"000606"</f>
        <v>000606</v>
      </c>
      <c r="E35" s="8" t="str">
        <f t="shared" ref="E35:E37" si="23">"青海明胶"</f>
        <v>青海明胶</v>
      </c>
      <c r="F35" s="8">
        <v>10.25</v>
      </c>
      <c r="G35" s="8">
        <v>1000</v>
      </c>
      <c r="H35" s="8">
        <v>10250</v>
      </c>
      <c r="I35" s="8">
        <v>-10261.28</v>
      </c>
      <c r="J35" s="8">
        <v>4022.04</v>
      </c>
      <c r="K35" s="8">
        <v>1800</v>
      </c>
      <c r="L35" s="8" t="str">
        <f t="shared" si="0"/>
        <v>人民币</v>
      </c>
      <c r="M35" s="8" t="str">
        <f>"T4000299"</f>
        <v>T4000299</v>
      </c>
      <c r="N35" s="8" t="str">
        <f t="shared" si="15"/>
        <v>0149593788</v>
      </c>
      <c r="O35" s="8" t="str">
        <f t="shared" si="2"/>
        <v>300100052893</v>
      </c>
    </row>
    <row r="36" spans="1:15">
      <c r="A36" s="8" t="str">
        <f>"20130925"</f>
        <v>20130925</v>
      </c>
      <c r="B36" s="8" t="str">
        <f>"20130925"</f>
        <v>20130925</v>
      </c>
      <c r="C36" s="8" t="str">
        <f t="shared" si="21"/>
        <v>证券买入</v>
      </c>
      <c r="D36" s="8" t="str">
        <f t="shared" si="22"/>
        <v>000606</v>
      </c>
      <c r="E36" s="8" t="str">
        <f t="shared" si="23"/>
        <v>青海明胶</v>
      </c>
      <c r="F36" s="8">
        <v>10.05</v>
      </c>
      <c r="G36" s="8">
        <v>300</v>
      </c>
      <c r="H36" s="8">
        <v>3015</v>
      </c>
      <c r="I36" s="8">
        <v>-3020</v>
      </c>
      <c r="J36" s="8">
        <v>1002.04</v>
      </c>
      <c r="K36" s="8">
        <v>2100</v>
      </c>
      <c r="L36" s="8" t="str">
        <f t="shared" si="0"/>
        <v>人民币</v>
      </c>
      <c r="M36" s="8" t="str">
        <f>"T4001833"</f>
        <v>T4001833</v>
      </c>
      <c r="N36" s="8" t="str">
        <f t="shared" si="15"/>
        <v>0149593788</v>
      </c>
      <c r="O36" s="8" t="str">
        <f t="shared" si="2"/>
        <v>300100052893</v>
      </c>
    </row>
    <row r="37" spans="1:15">
      <c r="A37" s="8" t="str">
        <f>"20130926"</f>
        <v>20130926</v>
      </c>
      <c r="B37" s="8" t="str">
        <f>"20130926"</f>
        <v>20130926</v>
      </c>
      <c r="C37" s="8" t="str">
        <f t="shared" si="21"/>
        <v>证券买入</v>
      </c>
      <c r="D37" s="8" t="str">
        <f t="shared" si="22"/>
        <v>000606</v>
      </c>
      <c r="E37" s="8" t="str">
        <f t="shared" si="23"/>
        <v>青海明胶</v>
      </c>
      <c r="F37" s="8">
        <v>9.88</v>
      </c>
      <c r="G37" s="8">
        <v>100</v>
      </c>
      <c r="H37" s="8">
        <v>988</v>
      </c>
      <c r="I37" s="8">
        <v>-993</v>
      </c>
      <c r="J37" s="8">
        <v>9.04</v>
      </c>
      <c r="K37" s="8">
        <v>2200</v>
      </c>
      <c r="L37" s="8" t="str">
        <f t="shared" si="0"/>
        <v>人民币</v>
      </c>
      <c r="M37" s="8" t="str">
        <f>"T4004286"</f>
        <v>T4004286</v>
      </c>
      <c r="N37" s="8" t="str">
        <f t="shared" si="15"/>
        <v>0149593788</v>
      </c>
      <c r="O37" s="8" t="str">
        <f t="shared" si="2"/>
        <v>300100052893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opLeftCell="A41" workbookViewId="0">
      <selection activeCell="A2" sqref="A2:K54"/>
    </sheetView>
  </sheetViews>
  <sheetFormatPr defaultColWidth="9" defaultRowHeight="13.5"/>
  <cols>
    <col min="1" max="16384" width="9" style="8"/>
  </cols>
  <sheetData>
    <row r="1" spans="1:15">
      <c r="A1" s="8" t="str">
        <f>"成交日期"</f>
        <v>成交日期</v>
      </c>
      <c r="B1" s="8" t="str">
        <f>"委托日期"</f>
        <v>委托日期</v>
      </c>
      <c r="C1" s="8" t="str">
        <f>"业务类型"</f>
        <v>业务类型</v>
      </c>
      <c r="D1" s="8" t="str">
        <f>"证券代码"</f>
        <v>证券代码</v>
      </c>
      <c r="E1" s="8" t="str">
        <f>"证券名称"</f>
        <v>证券名称</v>
      </c>
      <c r="F1" s="8" t="str">
        <f>"成交价格"</f>
        <v>成交价格</v>
      </c>
      <c r="G1" s="8" t="str">
        <f>"成交数量"</f>
        <v>成交数量</v>
      </c>
      <c r="H1" s="8" t="str">
        <f>"成交金额"</f>
        <v>成交金额</v>
      </c>
      <c r="I1" s="8" t="str">
        <f>"发生金额"</f>
        <v>发生金额</v>
      </c>
      <c r="J1" s="8" t="str">
        <f>"资金余额"</f>
        <v>资金余额</v>
      </c>
      <c r="K1" s="8" t="str">
        <f>"当前持仓"</f>
        <v>当前持仓</v>
      </c>
      <c r="L1" s="8" t="str">
        <f>"币种"</f>
        <v>币种</v>
      </c>
      <c r="M1" s="8" t="str">
        <f>"协议编号"</f>
        <v>协议编号</v>
      </c>
      <c r="N1" s="8" t="str">
        <f>"股东代码"</f>
        <v>股东代码</v>
      </c>
      <c r="O1" s="8" t="str">
        <f>"产品账号"</f>
        <v>产品账号</v>
      </c>
    </row>
    <row r="2" spans="1:15">
      <c r="A2" s="8" t="str">
        <f t="shared" ref="A2:A6" si="0">"20131008"</f>
        <v>20131008</v>
      </c>
      <c r="B2" s="8" t="str">
        <f>"20130923"</f>
        <v>20130923</v>
      </c>
      <c r="C2" s="8" t="str">
        <f>"融券购回"</f>
        <v>融券购回</v>
      </c>
      <c r="D2" s="8" t="str">
        <f>"131802"</f>
        <v>131802</v>
      </c>
      <c r="E2" s="8" t="str">
        <f>"Ｒ-014"</f>
        <v>Ｒ-014</v>
      </c>
      <c r="F2" s="8">
        <v>4.61</v>
      </c>
      <c r="G2" s="8">
        <v>100</v>
      </c>
      <c r="H2" s="8">
        <v>10017.68</v>
      </c>
      <c r="I2" s="8">
        <v>10017.68</v>
      </c>
      <c r="J2" s="8">
        <v>10026.72</v>
      </c>
      <c r="K2" s="8">
        <v>0</v>
      </c>
      <c r="L2" s="8" t="str">
        <f t="shared" ref="L2:L54" si="1">"人民币"</f>
        <v>人民币</v>
      </c>
      <c r="M2" s="8" t="str">
        <f>"T4001544"</f>
        <v>T4001544</v>
      </c>
      <c r="N2" s="8" t="str">
        <f t="shared" ref="N2:N10" si="2">"0149593788"</f>
        <v>0149593788</v>
      </c>
      <c r="O2" s="8" t="str">
        <f t="shared" ref="O2:O54" si="3">"300100052893"</f>
        <v>300100052893</v>
      </c>
    </row>
    <row r="3" spans="1:15">
      <c r="A3" s="8" t="str">
        <f t="shared" si="0"/>
        <v>20131008</v>
      </c>
      <c r="B3" s="8" t="str">
        <f>"20130923"</f>
        <v>20130923</v>
      </c>
      <c r="C3" s="8" t="str">
        <f>"融券购回"</f>
        <v>融券购回</v>
      </c>
      <c r="D3" s="8" t="str">
        <f t="shared" ref="D3:D8" si="4">"131802"</f>
        <v>131802</v>
      </c>
      <c r="E3" s="8" t="str">
        <f t="shared" ref="E3:E8" si="5">"Ｒ-014"</f>
        <v>Ｒ-014</v>
      </c>
      <c r="F3" s="8">
        <v>5.01</v>
      </c>
      <c r="G3" s="8">
        <v>100</v>
      </c>
      <c r="H3" s="8">
        <v>10019.22</v>
      </c>
      <c r="I3" s="8">
        <v>10019.22</v>
      </c>
      <c r="J3" s="8">
        <v>20045.94</v>
      </c>
      <c r="K3" s="8">
        <v>0</v>
      </c>
      <c r="L3" s="8" t="str">
        <f t="shared" si="1"/>
        <v>人民币</v>
      </c>
      <c r="M3" s="8" t="str">
        <f>"T4003823"</f>
        <v>T4003823</v>
      </c>
      <c r="N3" s="8" t="str">
        <f t="shared" si="2"/>
        <v>0149593788</v>
      </c>
      <c r="O3" s="8" t="str">
        <f t="shared" si="3"/>
        <v>300100052893</v>
      </c>
    </row>
    <row r="4" spans="1:15">
      <c r="A4" s="8" t="str">
        <f t="shared" si="0"/>
        <v>20131008</v>
      </c>
      <c r="B4" s="8" t="str">
        <f>"20130923"</f>
        <v>20130923</v>
      </c>
      <c r="C4" s="8" t="str">
        <f>"融券购回"</f>
        <v>融券购回</v>
      </c>
      <c r="D4" s="8" t="str">
        <f t="shared" si="4"/>
        <v>131802</v>
      </c>
      <c r="E4" s="8" t="str">
        <f t="shared" si="5"/>
        <v>Ｒ-014</v>
      </c>
      <c r="F4" s="8">
        <v>5.3</v>
      </c>
      <c r="G4" s="8">
        <v>100</v>
      </c>
      <c r="H4" s="8">
        <v>10020.33</v>
      </c>
      <c r="I4" s="8">
        <v>10020.33</v>
      </c>
      <c r="J4" s="8">
        <v>30066.27</v>
      </c>
      <c r="K4" s="8">
        <v>0</v>
      </c>
      <c r="L4" s="8" t="str">
        <f t="shared" si="1"/>
        <v>人民币</v>
      </c>
      <c r="M4" s="8" t="str">
        <f>"T4003959"</f>
        <v>T4003959</v>
      </c>
      <c r="N4" s="8" t="str">
        <f t="shared" si="2"/>
        <v>0149593788</v>
      </c>
      <c r="O4" s="8" t="str">
        <f t="shared" si="3"/>
        <v>300100052893</v>
      </c>
    </row>
    <row r="5" spans="1:15">
      <c r="A5" s="8" t="str">
        <f t="shared" si="0"/>
        <v>20131008</v>
      </c>
      <c r="B5" s="8" t="str">
        <f t="shared" ref="B5:B10" si="6">"20131008"</f>
        <v>20131008</v>
      </c>
      <c r="C5" s="8" t="str">
        <f t="shared" ref="C5:C9" si="7">"融券回购"</f>
        <v>融券回购</v>
      </c>
      <c r="D5" s="8" t="str">
        <f t="shared" si="4"/>
        <v>131802</v>
      </c>
      <c r="E5" s="8" t="str">
        <f t="shared" si="5"/>
        <v>Ｒ-014</v>
      </c>
      <c r="F5" s="8">
        <v>4.55</v>
      </c>
      <c r="G5" s="8">
        <v>100</v>
      </c>
      <c r="H5" s="8">
        <v>10000</v>
      </c>
      <c r="I5" s="8">
        <v>-10001</v>
      </c>
      <c r="J5" s="8">
        <v>20065.27</v>
      </c>
      <c r="K5" s="8">
        <v>0</v>
      </c>
      <c r="L5" s="8" t="str">
        <f t="shared" si="1"/>
        <v>人民币</v>
      </c>
      <c r="M5" s="8" t="str">
        <f>"T4001851"</f>
        <v>T4001851</v>
      </c>
      <c r="N5" s="8" t="str">
        <f t="shared" si="2"/>
        <v>0149593788</v>
      </c>
      <c r="O5" s="8" t="str">
        <f t="shared" si="3"/>
        <v>300100052893</v>
      </c>
    </row>
    <row r="6" spans="1:15">
      <c r="A6" s="8" t="str">
        <f t="shared" si="0"/>
        <v>20131008</v>
      </c>
      <c r="B6" s="8" t="str">
        <f t="shared" si="6"/>
        <v>20131008</v>
      </c>
      <c r="C6" s="8" t="str">
        <f t="shared" si="7"/>
        <v>融券回购</v>
      </c>
      <c r="D6" s="8" t="str">
        <f t="shared" ref="D6:D10" si="8">"131801"</f>
        <v>131801</v>
      </c>
      <c r="E6" s="8" t="str">
        <f t="shared" ref="E6:E10" si="9">"Ｒ-007"</f>
        <v>Ｒ-007</v>
      </c>
      <c r="F6" s="8">
        <v>4.77</v>
      </c>
      <c r="G6" s="8">
        <v>50</v>
      </c>
      <c r="H6" s="8">
        <v>5000</v>
      </c>
      <c r="I6" s="8">
        <v>-5000.25</v>
      </c>
      <c r="J6" s="8">
        <v>15065.02</v>
      </c>
      <c r="K6" s="8">
        <v>0</v>
      </c>
      <c r="L6" s="8" t="str">
        <f t="shared" si="1"/>
        <v>人民币</v>
      </c>
      <c r="M6" s="8" t="str">
        <f>"T4001882"</f>
        <v>T4001882</v>
      </c>
      <c r="N6" s="8" t="str">
        <f t="shared" si="2"/>
        <v>0149593788</v>
      </c>
      <c r="O6" s="8" t="str">
        <f t="shared" si="3"/>
        <v>300100052893</v>
      </c>
    </row>
    <row r="7" spans="1:15">
      <c r="A7" s="8" t="str">
        <f t="shared" ref="A7:A9" si="10">"20131009"</f>
        <v>20131009</v>
      </c>
      <c r="B7" s="8" t="str">
        <f t="shared" ref="B7:B9" si="11">"20131009"</f>
        <v>20131009</v>
      </c>
      <c r="C7" s="8" t="str">
        <f t="shared" si="7"/>
        <v>融券回购</v>
      </c>
      <c r="D7" s="8" t="str">
        <f t="shared" si="8"/>
        <v>131801</v>
      </c>
      <c r="E7" s="8" t="str">
        <f t="shared" si="9"/>
        <v>Ｒ-007</v>
      </c>
      <c r="F7" s="8">
        <v>6.1</v>
      </c>
      <c r="G7" s="8">
        <v>50</v>
      </c>
      <c r="H7" s="8">
        <v>5000</v>
      </c>
      <c r="I7" s="8">
        <v>-5000.25</v>
      </c>
      <c r="J7" s="8">
        <v>10064.77</v>
      </c>
      <c r="K7" s="8">
        <v>0</v>
      </c>
      <c r="L7" s="8" t="str">
        <f t="shared" si="1"/>
        <v>人民币</v>
      </c>
      <c r="M7" s="8" t="str">
        <f>"T4001719"</f>
        <v>T4001719</v>
      </c>
      <c r="N7" s="8" t="str">
        <f t="shared" si="2"/>
        <v>0149593788</v>
      </c>
      <c r="O7" s="8" t="str">
        <f t="shared" si="3"/>
        <v>300100052893</v>
      </c>
    </row>
    <row r="8" spans="1:15">
      <c r="A8" s="8" t="str">
        <f t="shared" si="10"/>
        <v>20131009</v>
      </c>
      <c r="B8" s="8" t="str">
        <f t="shared" si="11"/>
        <v>20131009</v>
      </c>
      <c r="C8" s="8" t="str">
        <f t="shared" si="7"/>
        <v>融券回购</v>
      </c>
      <c r="D8" s="8" t="str">
        <f t="shared" si="4"/>
        <v>131802</v>
      </c>
      <c r="E8" s="8" t="str">
        <f t="shared" si="5"/>
        <v>Ｒ-014</v>
      </c>
      <c r="F8" s="8">
        <v>5.1</v>
      </c>
      <c r="G8" s="8">
        <v>40</v>
      </c>
      <c r="H8" s="8">
        <v>4000</v>
      </c>
      <c r="I8" s="8">
        <v>-4000.4</v>
      </c>
      <c r="J8" s="8">
        <v>6064.37</v>
      </c>
      <c r="K8" s="8">
        <v>0</v>
      </c>
      <c r="L8" s="8" t="str">
        <f t="shared" si="1"/>
        <v>人民币</v>
      </c>
      <c r="M8" s="8" t="str">
        <f>"T4001977"</f>
        <v>T4001977</v>
      </c>
      <c r="N8" s="8" t="str">
        <f t="shared" si="2"/>
        <v>0149593788</v>
      </c>
      <c r="O8" s="8" t="str">
        <f t="shared" si="3"/>
        <v>300100052893</v>
      </c>
    </row>
    <row r="9" spans="1:15">
      <c r="A9" s="8" t="str">
        <f t="shared" si="10"/>
        <v>20131009</v>
      </c>
      <c r="B9" s="8" t="str">
        <f t="shared" si="11"/>
        <v>20131009</v>
      </c>
      <c r="C9" s="8" t="str">
        <f t="shared" si="7"/>
        <v>融券回购</v>
      </c>
      <c r="D9" s="8" t="str">
        <f t="shared" si="8"/>
        <v>131801</v>
      </c>
      <c r="E9" s="8" t="str">
        <f t="shared" si="9"/>
        <v>Ｒ-007</v>
      </c>
      <c r="F9" s="8">
        <v>6.9</v>
      </c>
      <c r="G9" s="8">
        <v>60</v>
      </c>
      <c r="H9" s="8">
        <v>6000</v>
      </c>
      <c r="I9" s="8">
        <v>-6000.3</v>
      </c>
      <c r="J9" s="8">
        <v>64.07</v>
      </c>
      <c r="K9" s="8">
        <v>0</v>
      </c>
      <c r="L9" s="8" t="str">
        <f t="shared" si="1"/>
        <v>人民币</v>
      </c>
      <c r="M9" s="8" t="str">
        <f>"T4003401"</f>
        <v>T4003401</v>
      </c>
      <c r="N9" s="8" t="str">
        <f t="shared" si="2"/>
        <v>0149593788</v>
      </c>
      <c r="O9" s="8" t="str">
        <f t="shared" si="3"/>
        <v>300100052893</v>
      </c>
    </row>
    <row r="10" spans="1:15">
      <c r="A10" s="8" t="str">
        <f>"20131015"</f>
        <v>20131015</v>
      </c>
      <c r="B10" s="8" t="str">
        <f t="shared" si="6"/>
        <v>20131008</v>
      </c>
      <c r="C10" s="8" t="str">
        <f t="shared" ref="C10:C13" si="12">"融券购回"</f>
        <v>融券购回</v>
      </c>
      <c r="D10" s="8" t="str">
        <f t="shared" si="8"/>
        <v>131801</v>
      </c>
      <c r="E10" s="8" t="str">
        <f t="shared" si="9"/>
        <v>Ｒ-007</v>
      </c>
      <c r="F10" s="8">
        <v>4.77</v>
      </c>
      <c r="G10" s="8">
        <v>50</v>
      </c>
      <c r="H10" s="8">
        <v>5004.57</v>
      </c>
      <c r="I10" s="8">
        <v>5004.57</v>
      </c>
      <c r="J10" s="8">
        <v>5068.64</v>
      </c>
      <c r="K10" s="8">
        <v>0</v>
      </c>
      <c r="L10" s="8" t="str">
        <f t="shared" si="1"/>
        <v>人民币</v>
      </c>
      <c r="M10" s="8" t="str">
        <f>"T4001882"</f>
        <v>T4001882</v>
      </c>
      <c r="N10" s="8" t="str">
        <f t="shared" si="2"/>
        <v>0149593788</v>
      </c>
      <c r="O10" s="8" t="str">
        <f t="shared" si="3"/>
        <v>300100052893</v>
      </c>
    </row>
    <row r="11" spans="1:15">
      <c r="A11" s="8" t="str">
        <f>"20131015"</f>
        <v>20131015</v>
      </c>
      <c r="B11" s="8" t="str">
        <f>"20131015"</f>
        <v>20131015</v>
      </c>
      <c r="C11" s="8" t="str">
        <f t="shared" ref="C11:C15" si="13">"证券买入"</f>
        <v>证券买入</v>
      </c>
      <c r="D11" s="8" t="str">
        <f>"601607"</f>
        <v>601607</v>
      </c>
      <c r="E11" s="8" t="str">
        <f>"上海医药"</f>
        <v>上海医药</v>
      </c>
      <c r="F11" s="8">
        <v>15.56</v>
      </c>
      <c r="G11" s="8">
        <v>300</v>
      </c>
      <c r="H11" s="8">
        <v>4668</v>
      </c>
      <c r="I11" s="8">
        <v>-4673.31</v>
      </c>
      <c r="J11" s="8">
        <v>395.33</v>
      </c>
      <c r="K11" s="8">
        <v>300</v>
      </c>
      <c r="L11" s="8" t="str">
        <f t="shared" si="1"/>
        <v>人民币</v>
      </c>
      <c r="M11" s="8" t="str">
        <f>"1361002574"</f>
        <v>1361002574</v>
      </c>
      <c r="N11" s="8" t="str">
        <f>"A368402599"</f>
        <v>A368402599</v>
      </c>
      <c r="O11" s="8" t="str">
        <f t="shared" si="3"/>
        <v>300100052893</v>
      </c>
    </row>
    <row r="12" spans="1:15">
      <c r="A12" s="8" t="str">
        <f t="shared" ref="A12:A15" si="14">"20131016"</f>
        <v>20131016</v>
      </c>
      <c r="B12" s="8" t="str">
        <f>"20131009"</f>
        <v>20131009</v>
      </c>
      <c r="C12" s="8" t="str">
        <f t="shared" si="12"/>
        <v>融券购回</v>
      </c>
      <c r="D12" s="8" t="str">
        <f>"131801"</f>
        <v>131801</v>
      </c>
      <c r="E12" s="8" t="str">
        <f>"Ｒ-007"</f>
        <v>Ｒ-007</v>
      </c>
      <c r="F12" s="8">
        <v>6.1</v>
      </c>
      <c r="G12" s="8">
        <v>50</v>
      </c>
      <c r="H12" s="8">
        <v>5005.85</v>
      </c>
      <c r="I12" s="8">
        <v>5005.85</v>
      </c>
      <c r="J12" s="8">
        <v>5401.18</v>
      </c>
      <c r="K12" s="8">
        <v>0</v>
      </c>
      <c r="L12" s="8" t="str">
        <f t="shared" si="1"/>
        <v>人民币</v>
      </c>
      <c r="M12" s="8" t="str">
        <f>"T4001719"</f>
        <v>T4001719</v>
      </c>
      <c r="N12" s="8" t="str">
        <f t="shared" ref="N12:N14" si="15">"0149593788"</f>
        <v>0149593788</v>
      </c>
      <c r="O12" s="8" t="str">
        <f t="shared" si="3"/>
        <v>300100052893</v>
      </c>
    </row>
    <row r="13" spans="1:15">
      <c r="A13" s="8" t="str">
        <f t="shared" si="14"/>
        <v>20131016</v>
      </c>
      <c r="B13" s="8" t="str">
        <f>"20131009"</f>
        <v>20131009</v>
      </c>
      <c r="C13" s="8" t="str">
        <f t="shared" si="12"/>
        <v>融券购回</v>
      </c>
      <c r="D13" s="8" t="str">
        <f>"131801"</f>
        <v>131801</v>
      </c>
      <c r="E13" s="8" t="str">
        <f>"Ｒ-007"</f>
        <v>Ｒ-007</v>
      </c>
      <c r="F13" s="8">
        <v>6.9</v>
      </c>
      <c r="G13" s="8">
        <v>60</v>
      </c>
      <c r="H13" s="8">
        <v>6007.94</v>
      </c>
      <c r="I13" s="8">
        <v>6007.94</v>
      </c>
      <c r="J13" s="8">
        <v>11409.12</v>
      </c>
      <c r="K13" s="8">
        <v>0</v>
      </c>
      <c r="L13" s="8" t="str">
        <f t="shared" si="1"/>
        <v>人民币</v>
      </c>
      <c r="M13" s="8" t="str">
        <f>"T4003401"</f>
        <v>T4003401</v>
      </c>
      <c r="N13" s="8" t="str">
        <f t="shared" si="15"/>
        <v>0149593788</v>
      </c>
      <c r="O13" s="8" t="str">
        <f t="shared" si="3"/>
        <v>300100052893</v>
      </c>
    </row>
    <row r="14" spans="1:15">
      <c r="A14" s="8" t="str">
        <f t="shared" si="14"/>
        <v>20131016</v>
      </c>
      <c r="B14" s="8" t="str">
        <f>"20131016"</f>
        <v>20131016</v>
      </c>
      <c r="C14" s="8" t="str">
        <f t="shared" si="13"/>
        <v>证券买入</v>
      </c>
      <c r="D14" s="8" t="str">
        <f>"002500"</f>
        <v>002500</v>
      </c>
      <c r="E14" s="8" t="str">
        <f>"山西证券"</f>
        <v>山西证券</v>
      </c>
      <c r="F14" s="8">
        <v>6.52</v>
      </c>
      <c r="G14" s="8">
        <v>600</v>
      </c>
      <c r="H14" s="8">
        <v>3912</v>
      </c>
      <c r="I14" s="8">
        <v>-3917</v>
      </c>
      <c r="J14" s="8">
        <v>7492.12</v>
      </c>
      <c r="K14" s="8">
        <v>600</v>
      </c>
      <c r="L14" s="8" t="str">
        <f t="shared" si="1"/>
        <v>人民币</v>
      </c>
      <c r="M14" s="8" t="str">
        <f>"T4002139"</f>
        <v>T4002139</v>
      </c>
      <c r="N14" s="8" t="str">
        <f t="shared" si="15"/>
        <v>0149593788</v>
      </c>
      <c r="O14" s="8" t="str">
        <f t="shared" si="3"/>
        <v>300100052893</v>
      </c>
    </row>
    <row r="15" spans="1:15">
      <c r="A15" s="8" t="str">
        <f t="shared" si="14"/>
        <v>20131016</v>
      </c>
      <c r="B15" s="8" t="str">
        <f>"20131016"</f>
        <v>20131016</v>
      </c>
      <c r="C15" s="8" t="str">
        <f t="shared" si="13"/>
        <v>证券买入</v>
      </c>
      <c r="D15" s="8" t="str">
        <f>"601607"</f>
        <v>601607</v>
      </c>
      <c r="E15" s="8" t="str">
        <f>"上海医药"</f>
        <v>上海医药</v>
      </c>
      <c r="F15" s="8">
        <v>15.69</v>
      </c>
      <c r="G15" s="8">
        <v>400</v>
      </c>
      <c r="H15" s="8">
        <v>6276</v>
      </c>
      <c r="I15" s="8">
        <v>-6283.14</v>
      </c>
      <c r="J15" s="8">
        <v>1208.98</v>
      </c>
      <c r="K15" s="8">
        <v>700</v>
      </c>
      <c r="L15" s="8" t="str">
        <f t="shared" si="1"/>
        <v>人民币</v>
      </c>
      <c r="M15" s="8" t="str">
        <f>"1361002102"</f>
        <v>1361002102</v>
      </c>
      <c r="N15" s="8" t="str">
        <f>"A368402599"</f>
        <v>A368402599</v>
      </c>
      <c r="O15" s="8" t="str">
        <f t="shared" si="3"/>
        <v>300100052893</v>
      </c>
    </row>
    <row r="16" spans="1:15">
      <c r="A16" s="8" t="str">
        <f>"20131021"</f>
        <v>20131021</v>
      </c>
      <c r="B16" s="8" t="str">
        <f>"20130923"</f>
        <v>20130923</v>
      </c>
      <c r="C16" s="8" t="str">
        <f t="shared" ref="C16:C18" si="16">"融券购回"</f>
        <v>融券购回</v>
      </c>
      <c r="D16" s="8" t="str">
        <f>"131803"</f>
        <v>131803</v>
      </c>
      <c r="E16" s="8" t="str">
        <f>"Ｒ-028"</f>
        <v>Ｒ-028</v>
      </c>
      <c r="F16" s="8">
        <v>4.355</v>
      </c>
      <c r="G16" s="8">
        <v>50</v>
      </c>
      <c r="H16" s="8">
        <v>5016.7</v>
      </c>
      <c r="I16" s="8">
        <v>5016.7</v>
      </c>
      <c r="J16" s="8">
        <v>6225.68</v>
      </c>
      <c r="K16" s="8">
        <v>0</v>
      </c>
      <c r="L16" s="8" t="str">
        <f t="shared" si="1"/>
        <v>人民币</v>
      </c>
      <c r="M16" s="8" t="str">
        <f>"T4002227"</f>
        <v>T4002227</v>
      </c>
      <c r="N16" s="8" t="str">
        <f t="shared" ref="N16:N18" si="17">"0149593788"</f>
        <v>0149593788</v>
      </c>
      <c r="O16" s="8" t="str">
        <f t="shared" si="3"/>
        <v>300100052893</v>
      </c>
    </row>
    <row r="17" spans="1:15">
      <c r="A17" s="8" t="str">
        <f>"20131022"</f>
        <v>20131022</v>
      </c>
      <c r="B17" s="8" t="str">
        <f>"20131008"</f>
        <v>20131008</v>
      </c>
      <c r="C17" s="8" t="str">
        <f t="shared" si="16"/>
        <v>融券购回</v>
      </c>
      <c r="D17" s="8" t="str">
        <f>"131802"</f>
        <v>131802</v>
      </c>
      <c r="E17" s="8" t="str">
        <f>"Ｒ-014"</f>
        <v>Ｒ-014</v>
      </c>
      <c r="F17" s="8">
        <v>4.55</v>
      </c>
      <c r="G17" s="8">
        <v>100</v>
      </c>
      <c r="H17" s="8">
        <v>10017.45</v>
      </c>
      <c r="I17" s="8">
        <v>10017.45</v>
      </c>
      <c r="J17" s="8">
        <v>16243.13</v>
      </c>
      <c r="K17" s="8">
        <v>0</v>
      </c>
      <c r="L17" s="8" t="str">
        <f t="shared" si="1"/>
        <v>人民币</v>
      </c>
      <c r="M17" s="8" t="str">
        <f>"T4001851"</f>
        <v>T4001851</v>
      </c>
      <c r="N17" s="8" t="str">
        <f t="shared" si="17"/>
        <v>0149593788</v>
      </c>
      <c r="O17" s="8" t="str">
        <f t="shared" si="3"/>
        <v>300100052893</v>
      </c>
    </row>
    <row r="18" spans="1:15">
      <c r="A18" s="8" t="str">
        <f>"20131023"</f>
        <v>20131023</v>
      </c>
      <c r="B18" s="8" t="str">
        <f>"20131009"</f>
        <v>20131009</v>
      </c>
      <c r="C18" s="8" t="str">
        <f t="shared" si="16"/>
        <v>融券购回</v>
      </c>
      <c r="D18" s="8" t="str">
        <f>"131802"</f>
        <v>131802</v>
      </c>
      <c r="E18" s="8" t="str">
        <f>"Ｒ-014"</f>
        <v>Ｒ-014</v>
      </c>
      <c r="F18" s="8">
        <v>5.1</v>
      </c>
      <c r="G18" s="8">
        <v>40</v>
      </c>
      <c r="H18" s="8">
        <v>4007.82</v>
      </c>
      <c r="I18" s="8">
        <v>4007.82</v>
      </c>
      <c r="J18" s="8">
        <v>20250.95</v>
      </c>
      <c r="K18" s="8">
        <v>0</v>
      </c>
      <c r="L18" s="8" t="str">
        <f t="shared" si="1"/>
        <v>人民币</v>
      </c>
      <c r="M18" s="8" t="str">
        <f>"T4001977"</f>
        <v>T4001977</v>
      </c>
      <c r="N18" s="8" t="str">
        <f t="shared" si="17"/>
        <v>0149593788</v>
      </c>
      <c r="O18" s="8" t="str">
        <f t="shared" si="3"/>
        <v>300100052893</v>
      </c>
    </row>
    <row r="19" spans="1:15">
      <c r="A19" s="8" t="str">
        <f>"20131023"</f>
        <v>20131023</v>
      </c>
      <c r="B19" s="8" t="str">
        <f>"20131023"</f>
        <v>20131023</v>
      </c>
      <c r="C19" s="8" t="str">
        <f t="shared" ref="C19:C23" si="18">"证券买入"</f>
        <v>证券买入</v>
      </c>
      <c r="D19" s="8" t="str">
        <f>"601607"</f>
        <v>601607</v>
      </c>
      <c r="E19" s="8" t="str">
        <f>"上海医药"</f>
        <v>上海医药</v>
      </c>
      <c r="F19" s="8">
        <v>14.45</v>
      </c>
      <c r="G19" s="8">
        <v>300</v>
      </c>
      <c r="H19" s="8">
        <v>4335</v>
      </c>
      <c r="I19" s="8">
        <v>-4340.18</v>
      </c>
      <c r="J19" s="8">
        <v>15910.77</v>
      </c>
      <c r="K19" s="8">
        <v>1000</v>
      </c>
      <c r="L19" s="8" t="str">
        <f t="shared" si="1"/>
        <v>人民币</v>
      </c>
      <c r="M19" s="8" t="str">
        <f>"1361000911"</f>
        <v>1361000911</v>
      </c>
      <c r="N19" s="8" t="str">
        <f>"A368402599"</f>
        <v>A368402599</v>
      </c>
      <c r="O19" s="8" t="str">
        <f t="shared" si="3"/>
        <v>300100052893</v>
      </c>
    </row>
    <row r="20" spans="1:15">
      <c r="A20" s="8" t="str">
        <f>"20131024"</f>
        <v>20131024</v>
      </c>
      <c r="B20" s="8" t="str">
        <f>"20131024"</f>
        <v>20131024</v>
      </c>
      <c r="C20" s="8" t="str">
        <f>"证券转银行"</f>
        <v>证券转银行</v>
      </c>
      <c r="F20" s="8">
        <v>0</v>
      </c>
      <c r="G20" s="8">
        <v>0</v>
      </c>
      <c r="H20" s="8">
        <v>0</v>
      </c>
      <c r="I20" s="8">
        <v>-251</v>
      </c>
      <c r="J20" s="8">
        <v>15659.77</v>
      </c>
      <c r="K20" s="8">
        <v>0</v>
      </c>
      <c r="L20" s="8" t="str">
        <f t="shared" si="1"/>
        <v>人民币</v>
      </c>
      <c r="O20" s="8" t="str">
        <f t="shared" si="3"/>
        <v>300100052893</v>
      </c>
    </row>
    <row r="21" spans="1:15">
      <c r="A21" s="8" t="str">
        <f>"20131029"</f>
        <v>20131029</v>
      </c>
      <c r="B21" s="8" t="str">
        <f>"20131029"</f>
        <v>20131029</v>
      </c>
      <c r="C21" s="8" t="str">
        <f t="shared" si="18"/>
        <v>证券买入</v>
      </c>
      <c r="D21" s="8" t="str">
        <f>"601607"</f>
        <v>601607</v>
      </c>
      <c r="E21" s="8" t="str">
        <f>"上海医药"</f>
        <v>上海医药</v>
      </c>
      <c r="F21" s="8">
        <v>13.6</v>
      </c>
      <c r="G21" s="8">
        <v>300</v>
      </c>
      <c r="H21" s="8">
        <v>4080</v>
      </c>
      <c r="I21" s="8">
        <v>-4085.18</v>
      </c>
      <c r="J21" s="8">
        <v>11574.59</v>
      </c>
      <c r="K21" s="8">
        <v>1300</v>
      </c>
      <c r="L21" s="8" t="str">
        <f t="shared" si="1"/>
        <v>人民币</v>
      </c>
      <c r="M21" s="8" t="str">
        <f>"1361003970"</f>
        <v>1361003970</v>
      </c>
      <c r="N21" s="8" t="str">
        <f>"A368402599"</f>
        <v>A368402599</v>
      </c>
      <c r="O21" s="8" t="str">
        <f t="shared" si="3"/>
        <v>300100052893</v>
      </c>
    </row>
    <row r="22" spans="1:15">
      <c r="A22" s="8" t="str">
        <f t="shared" ref="A22:A25" si="19">"20131101"</f>
        <v>20131101</v>
      </c>
      <c r="B22" s="8" t="str">
        <f t="shared" ref="B22:B25" si="20">"20131101"</f>
        <v>20131101</v>
      </c>
      <c r="C22" s="8" t="str">
        <f t="shared" si="18"/>
        <v>证券买入</v>
      </c>
      <c r="D22" s="8" t="str">
        <f t="shared" ref="D22:D39" si="21">"000606"</f>
        <v>000606</v>
      </c>
      <c r="E22" s="8" t="str">
        <f t="shared" ref="E22:E39" si="22">"青海明胶"</f>
        <v>青海明胶</v>
      </c>
      <c r="F22" s="8">
        <v>7.22</v>
      </c>
      <c r="G22" s="8">
        <v>500</v>
      </c>
      <c r="H22" s="8">
        <v>3610</v>
      </c>
      <c r="I22" s="8">
        <v>-3615</v>
      </c>
      <c r="J22" s="8">
        <v>7959.59</v>
      </c>
      <c r="K22" s="8">
        <v>2700</v>
      </c>
      <c r="L22" s="8" t="str">
        <f t="shared" si="1"/>
        <v>人民币</v>
      </c>
      <c r="M22" s="8" t="str">
        <f>"T4000199"</f>
        <v>T4000199</v>
      </c>
      <c r="N22" s="8" t="str">
        <f t="shared" ref="N22:N39" si="23">"0149593788"</f>
        <v>0149593788</v>
      </c>
      <c r="O22" s="8" t="str">
        <f t="shared" si="3"/>
        <v>300100052893</v>
      </c>
    </row>
    <row r="23" spans="1:15">
      <c r="A23" s="8" t="str">
        <f t="shared" si="19"/>
        <v>20131101</v>
      </c>
      <c r="B23" s="8" t="str">
        <f t="shared" si="20"/>
        <v>20131101</v>
      </c>
      <c r="C23" s="8" t="str">
        <f t="shared" si="18"/>
        <v>证券买入</v>
      </c>
      <c r="D23" s="8" t="str">
        <f t="shared" si="21"/>
        <v>000606</v>
      </c>
      <c r="E23" s="8" t="str">
        <f t="shared" si="22"/>
        <v>青海明胶</v>
      </c>
      <c r="F23" s="8">
        <v>7.3</v>
      </c>
      <c r="G23" s="8">
        <v>1000</v>
      </c>
      <c r="H23" s="8">
        <v>7300</v>
      </c>
      <c r="I23" s="8">
        <v>-7308.03</v>
      </c>
      <c r="J23" s="8">
        <v>651.56</v>
      </c>
      <c r="K23" s="8">
        <v>3700</v>
      </c>
      <c r="L23" s="8" t="str">
        <f t="shared" si="1"/>
        <v>人民币</v>
      </c>
      <c r="M23" s="8" t="str">
        <f>"T4000303"</f>
        <v>T4000303</v>
      </c>
      <c r="N23" s="8" t="str">
        <f t="shared" si="23"/>
        <v>0149593788</v>
      </c>
      <c r="O23" s="8" t="str">
        <f t="shared" si="3"/>
        <v>300100052893</v>
      </c>
    </row>
    <row r="24" spans="1:15">
      <c r="A24" s="8" t="str">
        <f t="shared" si="19"/>
        <v>20131101</v>
      </c>
      <c r="B24" s="8" t="str">
        <f t="shared" si="20"/>
        <v>20131101</v>
      </c>
      <c r="C24" s="8" t="str">
        <f t="shared" ref="C24:C27" si="24">"证券卖出"</f>
        <v>证券卖出</v>
      </c>
      <c r="D24" s="8" t="str">
        <f t="shared" si="21"/>
        <v>000606</v>
      </c>
      <c r="E24" s="8" t="str">
        <f t="shared" si="22"/>
        <v>青海明胶</v>
      </c>
      <c r="F24" s="8">
        <v>7.51</v>
      </c>
      <c r="G24" s="8">
        <v>500</v>
      </c>
      <c r="H24" s="8">
        <v>3755</v>
      </c>
      <c r="I24" s="8">
        <v>3746.24</v>
      </c>
      <c r="J24" s="8">
        <v>4397.8</v>
      </c>
      <c r="K24" s="8">
        <v>3200</v>
      </c>
      <c r="L24" s="8" t="str">
        <f t="shared" si="1"/>
        <v>人民币</v>
      </c>
      <c r="M24" s="8" t="str">
        <f>"T4000723"</f>
        <v>T4000723</v>
      </c>
      <c r="N24" s="8" t="str">
        <f t="shared" si="23"/>
        <v>0149593788</v>
      </c>
      <c r="O24" s="8" t="str">
        <f t="shared" si="3"/>
        <v>300100052893</v>
      </c>
    </row>
    <row r="25" spans="1:15">
      <c r="A25" s="8" t="str">
        <f t="shared" si="19"/>
        <v>20131101</v>
      </c>
      <c r="B25" s="8" t="str">
        <f t="shared" si="20"/>
        <v>20131101</v>
      </c>
      <c r="C25" s="8" t="str">
        <f t="shared" si="24"/>
        <v>证券卖出</v>
      </c>
      <c r="D25" s="8" t="str">
        <f t="shared" si="21"/>
        <v>000606</v>
      </c>
      <c r="E25" s="8" t="str">
        <f t="shared" si="22"/>
        <v>青海明胶</v>
      </c>
      <c r="F25" s="8">
        <v>7.48</v>
      </c>
      <c r="G25" s="8">
        <v>300</v>
      </c>
      <c r="H25" s="8">
        <v>2244</v>
      </c>
      <c r="I25" s="8">
        <v>2236.76</v>
      </c>
      <c r="J25" s="8">
        <v>6634.56</v>
      </c>
      <c r="K25" s="8">
        <v>2900</v>
      </c>
      <c r="L25" s="8" t="str">
        <f t="shared" si="1"/>
        <v>人民币</v>
      </c>
      <c r="M25" s="8" t="str">
        <f>"T4003117"</f>
        <v>T4003117</v>
      </c>
      <c r="N25" s="8" t="str">
        <f t="shared" si="23"/>
        <v>0149593788</v>
      </c>
      <c r="O25" s="8" t="str">
        <f t="shared" si="3"/>
        <v>300100052893</v>
      </c>
    </row>
    <row r="26" spans="1:15">
      <c r="A26" s="8" t="str">
        <f>"20131107"</f>
        <v>20131107</v>
      </c>
      <c r="B26" s="8" t="str">
        <f>"20131107"</f>
        <v>20131107</v>
      </c>
      <c r="C26" s="8" t="str">
        <f t="shared" si="24"/>
        <v>证券卖出</v>
      </c>
      <c r="D26" s="8" t="str">
        <f t="shared" si="21"/>
        <v>000606</v>
      </c>
      <c r="E26" s="8" t="str">
        <f t="shared" si="22"/>
        <v>青海明胶</v>
      </c>
      <c r="F26" s="8">
        <v>7.7</v>
      </c>
      <c r="G26" s="8">
        <v>200</v>
      </c>
      <c r="H26" s="8">
        <v>1540</v>
      </c>
      <c r="I26" s="8">
        <v>1533.46</v>
      </c>
      <c r="J26" s="8">
        <v>8168.02</v>
      </c>
      <c r="K26" s="8">
        <v>2700</v>
      </c>
      <c r="L26" s="8" t="str">
        <f t="shared" si="1"/>
        <v>人民币</v>
      </c>
      <c r="M26" s="8" t="str">
        <f>"T4001479"</f>
        <v>T4001479</v>
      </c>
      <c r="N26" s="8" t="str">
        <f t="shared" si="23"/>
        <v>0149593788</v>
      </c>
      <c r="O26" s="8" t="str">
        <f t="shared" si="3"/>
        <v>300100052893</v>
      </c>
    </row>
    <row r="27" spans="1:15">
      <c r="A27" s="8" t="str">
        <f>"20131107"</f>
        <v>20131107</v>
      </c>
      <c r="B27" s="8" t="str">
        <f>"20131107"</f>
        <v>20131107</v>
      </c>
      <c r="C27" s="8" t="str">
        <f t="shared" si="24"/>
        <v>证券卖出</v>
      </c>
      <c r="D27" s="8" t="str">
        <f t="shared" si="21"/>
        <v>000606</v>
      </c>
      <c r="E27" s="8" t="str">
        <f t="shared" si="22"/>
        <v>青海明胶</v>
      </c>
      <c r="F27" s="8">
        <v>7.65</v>
      </c>
      <c r="G27" s="8">
        <v>500</v>
      </c>
      <c r="H27" s="8">
        <v>3825</v>
      </c>
      <c r="I27" s="8">
        <v>3816.17</v>
      </c>
      <c r="J27" s="8">
        <v>11984.19</v>
      </c>
      <c r="K27" s="8">
        <v>2200</v>
      </c>
      <c r="L27" s="8" t="str">
        <f t="shared" si="1"/>
        <v>人民币</v>
      </c>
      <c r="M27" s="8" t="str">
        <f>"T4001615"</f>
        <v>T4001615</v>
      </c>
      <c r="N27" s="8" t="str">
        <f t="shared" si="23"/>
        <v>0149593788</v>
      </c>
      <c r="O27" s="8" t="str">
        <f t="shared" si="3"/>
        <v>300100052893</v>
      </c>
    </row>
    <row r="28" spans="1:15">
      <c r="A28" s="8" t="str">
        <f t="shared" ref="A28:A33" si="25">"20131111"</f>
        <v>20131111</v>
      </c>
      <c r="B28" s="8" t="str">
        <f t="shared" ref="B28:B33" si="26">"20131111"</f>
        <v>20131111</v>
      </c>
      <c r="C28" s="8" t="str">
        <f t="shared" ref="C28:C32" si="27">"证券买入"</f>
        <v>证券买入</v>
      </c>
      <c r="D28" s="8" t="str">
        <f t="shared" si="21"/>
        <v>000606</v>
      </c>
      <c r="E28" s="8" t="str">
        <f t="shared" si="22"/>
        <v>青海明胶</v>
      </c>
      <c r="F28" s="8">
        <v>7.62</v>
      </c>
      <c r="G28" s="8">
        <v>600</v>
      </c>
      <c r="H28" s="8">
        <v>4572</v>
      </c>
      <c r="I28" s="8">
        <v>-4577.03</v>
      </c>
      <c r="J28" s="8">
        <v>7407.16</v>
      </c>
      <c r="K28" s="8">
        <v>2800</v>
      </c>
      <c r="L28" s="8" t="str">
        <f t="shared" si="1"/>
        <v>人民币</v>
      </c>
      <c r="M28" s="8" t="str">
        <f>"T4000613"</f>
        <v>T4000613</v>
      </c>
      <c r="N28" s="8" t="str">
        <f t="shared" si="23"/>
        <v>0149593788</v>
      </c>
      <c r="O28" s="8" t="str">
        <f t="shared" si="3"/>
        <v>300100052893</v>
      </c>
    </row>
    <row r="29" spans="1:15">
      <c r="A29" s="8" t="str">
        <f t="shared" si="25"/>
        <v>20131111</v>
      </c>
      <c r="B29" s="8" t="str">
        <f t="shared" si="26"/>
        <v>20131111</v>
      </c>
      <c r="C29" s="8" t="str">
        <f t="shared" si="27"/>
        <v>证券买入</v>
      </c>
      <c r="D29" s="8" t="str">
        <f t="shared" si="21"/>
        <v>000606</v>
      </c>
      <c r="E29" s="8" t="str">
        <f t="shared" si="22"/>
        <v>青海明胶</v>
      </c>
      <c r="F29" s="8">
        <v>7.34</v>
      </c>
      <c r="G29" s="8">
        <v>500</v>
      </c>
      <c r="H29" s="8">
        <v>3670</v>
      </c>
      <c r="I29" s="8">
        <v>-3675</v>
      </c>
      <c r="J29" s="8">
        <v>3732.16</v>
      </c>
      <c r="K29" s="8">
        <v>3300</v>
      </c>
      <c r="L29" s="8" t="str">
        <f t="shared" si="1"/>
        <v>人民币</v>
      </c>
      <c r="M29" s="8" t="str">
        <f>"T4001102"</f>
        <v>T4001102</v>
      </c>
      <c r="N29" s="8" t="str">
        <f t="shared" si="23"/>
        <v>0149593788</v>
      </c>
      <c r="O29" s="8" t="str">
        <f t="shared" si="3"/>
        <v>300100052893</v>
      </c>
    </row>
    <row r="30" spans="1:15">
      <c r="A30" s="8" t="str">
        <f t="shared" si="25"/>
        <v>20131111</v>
      </c>
      <c r="B30" s="8" t="str">
        <f t="shared" si="26"/>
        <v>20131111</v>
      </c>
      <c r="C30" s="8" t="str">
        <f t="shared" ref="C30:C33" si="28">"证券卖出"</f>
        <v>证券卖出</v>
      </c>
      <c r="D30" s="8" t="str">
        <f t="shared" si="21"/>
        <v>000606</v>
      </c>
      <c r="E30" s="8" t="str">
        <f t="shared" si="22"/>
        <v>青海明胶</v>
      </c>
      <c r="F30" s="8">
        <v>7.45</v>
      </c>
      <c r="G30" s="8">
        <v>500</v>
      </c>
      <c r="H30" s="8">
        <v>3725</v>
      </c>
      <c r="I30" s="8">
        <v>3716.27</v>
      </c>
      <c r="J30" s="8">
        <v>7448.43</v>
      </c>
      <c r="K30" s="8">
        <v>2800</v>
      </c>
      <c r="L30" s="8" t="str">
        <f t="shared" si="1"/>
        <v>人民币</v>
      </c>
      <c r="M30" s="8" t="str">
        <f>"T4001376"</f>
        <v>T4001376</v>
      </c>
      <c r="N30" s="8" t="str">
        <f t="shared" si="23"/>
        <v>0149593788</v>
      </c>
      <c r="O30" s="8" t="str">
        <f t="shared" si="3"/>
        <v>300100052893</v>
      </c>
    </row>
    <row r="31" spans="1:15">
      <c r="A31" s="8" t="str">
        <f t="shared" si="25"/>
        <v>20131111</v>
      </c>
      <c r="B31" s="8" t="str">
        <f t="shared" si="26"/>
        <v>20131111</v>
      </c>
      <c r="C31" s="8" t="str">
        <f t="shared" si="28"/>
        <v>证券卖出</v>
      </c>
      <c r="D31" s="8" t="str">
        <f t="shared" si="21"/>
        <v>000606</v>
      </c>
      <c r="E31" s="8" t="str">
        <f t="shared" si="22"/>
        <v>青海明胶</v>
      </c>
      <c r="F31" s="8">
        <v>7.57</v>
      </c>
      <c r="G31" s="8">
        <v>600</v>
      </c>
      <c r="H31" s="8">
        <v>4542</v>
      </c>
      <c r="I31" s="8">
        <v>4532.46</v>
      </c>
      <c r="J31" s="8">
        <v>11980.89</v>
      </c>
      <c r="K31" s="8">
        <v>2200</v>
      </c>
      <c r="L31" s="8" t="str">
        <f t="shared" si="1"/>
        <v>人民币</v>
      </c>
      <c r="M31" s="8" t="str">
        <f>"T4001648"</f>
        <v>T4001648</v>
      </c>
      <c r="N31" s="8" t="str">
        <f t="shared" si="23"/>
        <v>0149593788</v>
      </c>
      <c r="O31" s="8" t="str">
        <f t="shared" si="3"/>
        <v>300100052893</v>
      </c>
    </row>
    <row r="32" spans="1:15">
      <c r="A32" s="8" t="str">
        <f t="shared" si="25"/>
        <v>20131111</v>
      </c>
      <c r="B32" s="8" t="str">
        <f t="shared" si="26"/>
        <v>20131111</v>
      </c>
      <c r="C32" s="8" t="str">
        <f t="shared" si="27"/>
        <v>证券买入</v>
      </c>
      <c r="D32" s="8" t="str">
        <f t="shared" si="21"/>
        <v>000606</v>
      </c>
      <c r="E32" s="8" t="str">
        <f t="shared" si="22"/>
        <v>青海明胶</v>
      </c>
      <c r="F32" s="8">
        <v>7.43</v>
      </c>
      <c r="G32" s="8">
        <v>600</v>
      </c>
      <c r="H32" s="8">
        <v>4458</v>
      </c>
      <c r="I32" s="8">
        <v>-4463</v>
      </c>
      <c r="J32" s="8">
        <v>7517.89</v>
      </c>
      <c r="K32" s="8">
        <v>2800</v>
      </c>
      <c r="L32" s="8" t="str">
        <f t="shared" si="1"/>
        <v>人民币</v>
      </c>
      <c r="M32" s="8" t="str">
        <f>"T4001866"</f>
        <v>T4001866</v>
      </c>
      <c r="N32" s="8" t="str">
        <f t="shared" si="23"/>
        <v>0149593788</v>
      </c>
      <c r="O32" s="8" t="str">
        <f t="shared" si="3"/>
        <v>300100052893</v>
      </c>
    </row>
    <row r="33" spans="1:15">
      <c r="A33" s="8" t="str">
        <f t="shared" si="25"/>
        <v>20131111</v>
      </c>
      <c r="B33" s="8" t="str">
        <f t="shared" si="26"/>
        <v>20131111</v>
      </c>
      <c r="C33" s="8" t="str">
        <f t="shared" si="28"/>
        <v>证券卖出</v>
      </c>
      <c r="D33" s="8" t="str">
        <f t="shared" si="21"/>
        <v>000606</v>
      </c>
      <c r="E33" s="8" t="str">
        <f t="shared" si="22"/>
        <v>青海明胶</v>
      </c>
      <c r="F33" s="8">
        <v>7.73</v>
      </c>
      <c r="G33" s="8">
        <v>600</v>
      </c>
      <c r="H33" s="8">
        <v>4638</v>
      </c>
      <c r="I33" s="8">
        <v>4628.26</v>
      </c>
      <c r="J33" s="8">
        <v>12146.15</v>
      </c>
      <c r="K33" s="8">
        <v>2200</v>
      </c>
      <c r="L33" s="8" t="str">
        <f t="shared" si="1"/>
        <v>人民币</v>
      </c>
      <c r="M33" s="8" t="str">
        <f>"T4002786"</f>
        <v>T4002786</v>
      </c>
      <c r="N33" s="8" t="str">
        <f t="shared" si="23"/>
        <v>0149593788</v>
      </c>
      <c r="O33" s="8" t="str">
        <f t="shared" si="3"/>
        <v>300100052893</v>
      </c>
    </row>
    <row r="34" spans="1:15">
      <c r="A34" s="8" t="str">
        <f>"20131112"</f>
        <v>20131112</v>
      </c>
      <c r="B34" s="8" t="str">
        <f>"20131112"</f>
        <v>20131112</v>
      </c>
      <c r="C34" s="8" t="str">
        <f t="shared" ref="C34:C39" si="29">"证券买入"</f>
        <v>证券买入</v>
      </c>
      <c r="D34" s="8" t="str">
        <f t="shared" si="21"/>
        <v>000606</v>
      </c>
      <c r="E34" s="8" t="str">
        <f t="shared" si="22"/>
        <v>青海明胶</v>
      </c>
      <c r="F34" s="8">
        <v>7.63</v>
      </c>
      <c r="G34" s="8">
        <v>600</v>
      </c>
      <c r="H34" s="8">
        <v>4578</v>
      </c>
      <c r="I34" s="8">
        <v>-4583.04</v>
      </c>
      <c r="J34" s="8">
        <v>7563.11</v>
      </c>
      <c r="K34" s="8">
        <v>2800</v>
      </c>
      <c r="L34" s="8" t="str">
        <f t="shared" si="1"/>
        <v>人民币</v>
      </c>
      <c r="M34" s="8" t="str">
        <f>"T4000384"</f>
        <v>T4000384</v>
      </c>
      <c r="N34" s="8" t="str">
        <f t="shared" si="23"/>
        <v>0149593788</v>
      </c>
      <c r="O34" s="8" t="str">
        <f t="shared" si="3"/>
        <v>300100052893</v>
      </c>
    </row>
    <row r="35" spans="1:15">
      <c r="A35" s="8" t="str">
        <f t="shared" ref="A35:A38" si="30">"20131113"</f>
        <v>20131113</v>
      </c>
      <c r="B35" s="8" t="str">
        <f t="shared" ref="B35:B38" si="31">"20131113"</f>
        <v>20131113</v>
      </c>
      <c r="C35" s="8" t="str">
        <f t="shared" ref="C35:C38" si="32">"证券卖出"</f>
        <v>证券卖出</v>
      </c>
      <c r="D35" s="8" t="str">
        <f t="shared" si="21"/>
        <v>000606</v>
      </c>
      <c r="E35" s="8" t="str">
        <f t="shared" si="22"/>
        <v>青海明胶</v>
      </c>
      <c r="F35" s="8">
        <v>7.78</v>
      </c>
      <c r="G35" s="8">
        <v>600</v>
      </c>
      <c r="H35" s="8">
        <v>4668</v>
      </c>
      <c r="I35" s="8">
        <v>4658.2</v>
      </c>
      <c r="J35" s="8">
        <v>12221.31</v>
      </c>
      <c r="K35" s="8">
        <v>2200</v>
      </c>
      <c r="L35" s="8" t="str">
        <f t="shared" si="1"/>
        <v>人民币</v>
      </c>
      <c r="M35" s="8" t="str">
        <f>"T4001018"</f>
        <v>T4001018</v>
      </c>
      <c r="N35" s="8" t="str">
        <f t="shared" si="23"/>
        <v>0149593788</v>
      </c>
      <c r="O35" s="8" t="str">
        <f t="shared" si="3"/>
        <v>300100052893</v>
      </c>
    </row>
    <row r="36" spans="1:15">
      <c r="A36" s="8" t="str">
        <f t="shared" si="30"/>
        <v>20131113</v>
      </c>
      <c r="B36" s="8" t="str">
        <f t="shared" si="31"/>
        <v>20131113</v>
      </c>
      <c r="C36" s="8" t="str">
        <f t="shared" si="29"/>
        <v>证券买入</v>
      </c>
      <c r="D36" s="8" t="str">
        <f t="shared" si="21"/>
        <v>000606</v>
      </c>
      <c r="E36" s="8" t="str">
        <f t="shared" si="22"/>
        <v>青海明胶</v>
      </c>
      <c r="F36" s="8">
        <v>7.83</v>
      </c>
      <c r="G36" s="8">
        <v>1000</v>
      </c>
      <c r="H36" s="8">
        <v>7830</v>
      </c>
      <c r="I36" s="8">
        <v>-7838.61</v>
      </c>
      <c r="J36" s="8">
        <v>4382.7</v>
      </c>
      <c r="K36" s="8">
        <v>3200</v>
      </c>
      <c r="L36" s="8" t="str">
        <f t="shared" si="1"/>
        <v>人民币</v>
      </c>
      <c r="M36" s="8" t="str">
        <f>"T4001196"</f>
        <v>T4001196</v>
      </c>
      <c r="N36" s="8" t="str">
        <f t="shared" si="23"/>
        <v>0149593788</v>
      </c>
      <c r="O36" s="8" t="str">
        <f t="shared" si="3"/>
        <v>300100052893</v>
      </c>
    </row>
    <row r="37" spans="1:15">
      <c r="A37" s="8" t="str">
        <f t="shared" si="30"/>
        <v>20131113</v>
      </c>
      <c r="B37" s="8" t="str">
        <f t="shared" si="31"/>
        <v>20131113</v>
      </c>
      <c r="C37" s="8" t="str">
        <f t="shared" si="32"/>
        <v>证券卖出</v>
      </c>
      <c r="D37" s="8" t="str">
        <f t="shared" si="21"/>
        <v>000606</v>
      </c>
      <c r="E37" s="8" t="str">
        <f t="shared" si="22"/>
        <v>青海明胶</v>
      </c>
      <c r="F37" s="8">
        <v>7.91</v>
      </c>
      <c r="G37" s="8">
        <v>400</v>
      </c>
      <c r="H37" s="8">
        <v>3164</v>
      </c>
      <c r="I37" s="8">
        <v>3155.84</v>
      </c>
      <c r="J37" s="8">
        <v>7538.54</v>
      </c>
      <c r="K37" s="8">
        <v>2800</v>
      </c>
      <c r="L37" s="8" t="str">
        <f t="shared" si="1"/>
        <v>人民币</v>
      </c>
      <c r="M37" s="8" t="str">
        <f>"T4001253"</f>
        <v>T4001253</v>
      </c>
      <c r="N37" s="8" t="str">
        <f t="shared" si="23"/>
        <v>0149593788</v>
      </c>
      <c r="O37" s="8" t="str">
        <f t="shared" si="3"/>
        <v>300100052893</v>
      </c>
    </row>
    <row r="38" spans="1:15">
      <c r="A38" s="8" t="str">
        <f t="shared" si="30"/>
        <v>20131113</v>
      </c>
      <c r="B38" s="8" t="str">
        <f t="shared" si="31"/>
        <v>20131113</v>
      </c>
      <c r="C38" s="8" t="str">
        <f t="shared" si="32"/>
        <v>证券卖出</v>
      </c>
      <c r="D38" s="8" t="str">
        <f t="shared" si="21"/>
        <v>000606</v>
      </c>
      <c r="E38" s="8" t="str">
        <f t="shared" si="22"/>
        <v>青海明胶</v>
      </c>
      <c r="F38" s="8">
        <v>7.78</v>
      </c>
      <c r="G38" s="8">
        <v>600</v>
      </c>
      <c r="H38" s="8">
        <v>4668</v>
      </c>
      <c r="I38" s="8">
        <v>4658.2</v>
      </c>
      <c r="J38" s="8">
        <v>12196.74</v>
      </c>
      <c r="K38" s="8">
        <v>2200</v>
      </c>
      <c r="L38" s="8" t="str">
        <f t="shared" si="1"/>
        <v>人民币</v>
      </c>
      <c r="M38" s="8" t="str">
        <f>"T4002772"</f>
        <v>T4002772</v>
      </c>
      <c r="N38" s="8" t="str">
        <f t="shared" si="23"/>
        <v>0149593788</v>
      </c>
      <c r="O38" s="8" t="str">
        <f t="shared" si="3"/>
        <v>300100052893</v>
      </c>
    </row>
    <row r="39" spans="1:15">
      <c r="A39" s="8" t="str">
        <f>"20131115"</f>
        <v>20131115</v>
      </c>
      <c r="B39" s="8" t="str">
        <f>"20131115"</f>
        <v>20131115</v>
      </c>
      <c r="C39" s="8" t="str">
        <f t="shared" si="29"/>
        <v>证券买入</v>
      </c>
      <c r="D39" s="8" t="str">
        <f t="shared" si="21"/>
        <v>000606</v>
      </c>
      <c r="E39" s="8" t="str">
        <f t="shared" si="22"/>
        <v>青海明胶</v>
      </c>
      <c r="F39" s="8">
        <v>7.647</v>
      </c>
      <c r="G39" s="8">
        <v>600</v>
      </c>
      <c r="H39" s="8">
        <v>4588</v>
      </c>
      <c r="I39" s="8">
        <v>-4593.05</v>
      </c>
      <c r="J39" s="8">
        <v>7603.69</v>
      </c>
      <c r="K39" s="8">
        <v>2800</v>
      </c>
      <c r="L39" s="8" t="str">
        <f t="shared" si="1"/>
        <v>人民币</v>
      </c>
      <c r="M39" s="8" t="str">
        <f>"T4001449"</f>
        <v>T4001449</v>
      </c>
      <c r="N39" s="8" t="str">
        <f t="shared" si="23"/>
        <v>0149593788</v>
      </c>
      <c r="O39" s="8" t="str">
        <f t="shared" si="3"/>
        <v>300100052893</v>
      </c>
    </row>
    <row r="40" spans="1:15">
      <c r="A40" s="8" t="str">
        <f>"20131118"</f>
        <v>20131118</v>
      </c>
      <c r="B40" s="8" t="str">
        <f>"20131118"</f>
        <v>20131118</v>
      </c>
      <c r="C40" s="8" t="str">
        <f t="shared" ref="C40:C43" si="33">"证券卖出"</f>
        <v>证券卖出</v>
      </c>
      <c r="D40" s="8" t="str">
        <f t="shared" ref="D40:D47" si="34">"601607"</f>
        <v>601607</v>
      </c>
      <c r="E40" s="8" t="str">
        <f t="shared" ref="E40:E47" si="35">"上海医药"</f>
        <v>上海医药</v>
      </c>
      <c r="F40" s="8">
        <v>15.41</v>
      </c>
      <c r="G40" s="8">
        <v>300</v>
      </c>
      <c r="H40" s="8">
        <v>4623</v>
      </c>
      <c r="I40" s="8">
        <v>4613.11</v>
      </c>
      <c r="J40" s="8">
        <v>12216.8</v>
      </c>
      <c r="K40" s="8">
        <v>1000</v>
      </c>
      <c r="L40" s="8" t="str">
        <f t="shared" si="1"/>
        <v>人民币</v>
      </c>
      <c r="M40" s="8" t="str">
        <f>"1361001815"</f>
        <v>1361001815</v>
      </c>
      <c r="N40" s="8" t="str">
        <f t="shared" ref="N40:N47" si="36">"A368402599"</f>
        <v>A368402599</v>
      </c>
      <c r="O40" s="8" t="str">
        <f t="shared" si="3"/>
        <v>300100052893</v>
      </c>
    </row>
    <row r="41" spans="1:15">
      <c r="A41" s="8" t="str">
        <f>"20131118"</f>
        <v>20131118</v>
      </c>
      <c r="B41" s="8" t="str">
        <f>"20131118"</f>
        <v>20131118</v>
      </c>
      <c r="C41" s="8" t="str">
        <f t="shared" si="33"/>
        <v>证券卖出</v>
      </c>
      <c r="D41" s="8" t="str">
        <f>"000606"</f>
        <v>000606</v>
      </c>
      <c r="E41" s="8" t="str">
        <f>"青海明胶"</f>
        <v>青海明胶</v>
      </c>
      <c r="F41" s="8">
        <v>7.71</v>
      </c>
      <c r="G41" s="8">
        <v>600</v>
      </c>
      <c r="H41" s="8">
        <v>4626</v>
      </c>
      <c r="I41" s="8">
        <v>4616.29</v>
      </c>
      <c r="J41" s="8">
        <v>16833.09</v>
      </c>
      <c r="K41" s="8">
        <v>2200</v>
      </c>
      <c r="L41" s="8" t="str">
        <f t="shared" si="1"/>
        <v>人民币</v>
      </c>
      <c r="M41" s="8" t="str">
        <f>"T4002137"</f>
        <v>T4002137</v>
      </c>
      <c r="N41" s="8" t="str">
        <f>"0149593788"</f>
        <v>0149593788</v>
      </c>
      <c r="O41" s="8" t="str">
        <f t="shared" si="3"/>
        <v>300100052893</v>
      </c>
    </row>
    <row r="42" spans="1:15">
      <c r="A42" s="8" t="str">
        <f>"20131119"</f>
        <v>20131119</v>
      </c>
      <c r="B42" s="8" t="str">
        <f>"20131119"</f>
        <v>20131119</v>
      </c>
      <c r="C42" s="8" t="str">
        <f t="shared" ref="C42:C46" si="37">"证券买入"</f>
        <v>证券买入</v>
      </c>
      <c r="D42" s="8" t="str">
        <f t="shared" si="34"/>
        <v>601607</v>
      </c>
      <c r="E42" s="8" t="str">
        <f t="shared" si="35"/>
        <v>上海医药</v>
      </c>
      <c r="F42" s="8">
        <v>15.05</v>
      </c>
      <c r="G42" s="8">
        <v>500</v>
      </c>
      <c r="H42" s="8">
        <v>7525</v>
      </c>
      <c r="I42" s="8">
        <v>-7533.58</v>
      </c>
      <c r="J42" s="8">
        <v>9299.51</v>
      </c>
      <c r="K42" s="8">
        <v>1500</v>
      </c>
      <c r="L42" s="8" t="str">
        <f t="shared" si="1"/>
        <v>人民币</v>
      </c>
      <c r="M42" s="8" t="str">
        <f>"1361000914"</f>
        <v>1361000914</v>
      </c>
      <c r="N42" s="8" t="str">
        <f t="shared" si="36"/>
        <v>A368402599</v>
      </c>
      <c r="O42" s="8" t="str">
        <f t="shared" si="3"/>
        <v>300100052893</v>
      </c>
    </row>
    <row r="43" spans="1:15">
      <c r="A43" s="8" t="str">
        <f>"20131121"</f>
        <v>20131121</v>
      </c>
      <c r="B43" s="8" t="str">
        <f>"20131121"</f>
        <v>20131121</v>
      </c>
      <c r="C43" s="8" t="str">
        <f t="shared" si="33"/>
        <v>证券卖出</v>
      </c>
      <c r="D43" s="8" t="str">
        <f t="shared" si="34"/>
        <v>601607</v>
      </c>
      <c r="E43" s="8" t="str">
        <f t="shared" si="35"/>
        <v>上海医药</v>
      </c>
      <c r="F43" s="8">
        <v>15.28</v>
      </c>
      <c r="G43" s="8">
        <v>500</v>
      </c>
      <c r="H43" s="8">
        <v>7640</v>
      </c>
      <c r="I43" s="8">
        <v>7623.66</v>
      </c>
      <c r="J43" s="8">
        <v>16923.17</v>
      </c>
      <c r="K43" s="8">
        <v>1000</v>
      </c>
      <c r="L43" s="8" t="str">
        <f t="shared" si="1"/>
        <v>人民币</v>
      </c>
      <c r="M43" s="8" t="str">
        <f>"1361000645"</f>
        <v>1361000645</v>
      </c>
      <c r="N43" s="8" t="str">
        <f t="shared" si="36"/>
        <v>A368402599</v>
      </c>
      <c r="O43" s="8" t="str">
        <f t="shared" si="3"/>
        <v>300100052893</v>
      </c>
    </row>
    <row r="44" spans="1:15">
      <c r="A44" s="8" t="str">
        <f>"20131126"</f>
        <v>20131126</v>
      </c>
      <c r="B44" s="8" t="str">
        <f>"20131126"</f>
        <v>20131126</v>
      </c>
      <c r="C44" s="8" t="str">
        <f t="shared" si="37"/>
        <v>证券买入</v>
      </c>
      <c r="D44" s="8" t="str">
        <f t="shared" si="34"/>
        <v>601607</v>
      </c>
      <c r="E44" s="8" t="str">
        <f t="shared" si="35"/>
        <v>上海医药</v>
      </c>
      <c r="F44" s="8">
        <v>15.43</v>
      </c>
      <c r="G44" s="8">
        <v>500</v>
      </c>
      <c r="H44" s="8">
        <v>7715</v>
      </c>
      <c r="I44" s="8">
        <v>-7723.79</v>
      </c>
      <c r="J44" s="8">
        <v>9199.38</v>
      </c>
      <c r="K44" s="8">
        <v>1500</v>
      </c>
      <c r="L44" s="8" t="str">
        <f t="shared" si="1"/>
        <v>人民币</v>
      </c>
      <c r="M44" s="8" t="str">
        <f>"1361002030"</f>
        <v>1361002030</v>
      </c>
      <c r="N44" s="8" t="str">
        <f t="shared" si="36"/>
        <v>A368402599</v>
      </c>
      <c r="O44" s="8" t="str">
        <f t="shared" si="3"/>
        <v>300100052893</v>
      </c>
    </row>
    <row r="45" spans="1:15">
      <c r="A45" s="8" t="str">
        <f>"20131126"</f>
        <v>20131126</v>
      </c>
      <c r="B45" s="8" t="str">
        <f>"20131126"</f>
        <v>20131126</v>
      </c>
      <c r="C45" s="8" t="str">
        <f t="shared" ref="C45:C50" si="38">"证券卖出"</f>
        <v>证券卖出</v>
      </c>
      <c r="D45" s="8" t="str">
        <f t="shared" si="34"/>
        <v>601607</v>
      </c>
      <c r="E45" s="8" t="str">
        <f t="shared" si="35"/>
        <v>上海医药</v>
      </c>
      <c r="F45" s="8">
        <v>15.54</v>
      </c>
      <c r="G45" s="8">
        <v>500</v>
      </c>
      <c r="H45" s="8">
        <v>7770</v>
      </c>
      <c r="I45" s="8">
        <v>7753.38</v>
      </c>
      <c r="J45" s="8">
        <v>16952.76</v>
      </c>
      <c r="K45" s="8">
        <v>1000</v>
      </c>
      <c r="L45" s="8" t="str">
        <f t="shared" si="1"/>
        <v>人民币</v>
      </c>
      <c r="M45" s="8" t="str">
        <f>"1361002730"</f>
        <v>1361002730</v>
      </c>
      <c r="N45" s="8" t="str">
        <f t="shared" si="36"/>
        <v>A368402599</v>
      </c>
      <c r="O45" s="8" t="str">
        <f t="shared" si="3"/>
        <v>300100052893</v>
      </c>
    </row>
    <row r="46" spans="1:15">
      <c r="A46" s="8" t="str">
        <f>"20131127"</f>
        <v>20131127</v>
      </c>
      <c r="B46" s="8" t="str">
        <f>"20131127"</f>
        <v>20131127</v>
      </c>
      <c r="C46" s="8" t="str">
        <f t="shared" si="37"/>
        <v>证券买入</v>
      </c>
      <c r="D46" s="8" t="str">
        <f t="shared" si="34"/>
        <v>601607</v>
      </c>
      <c r="E46" s="8" t="str">
        <f t="shared" si="35"/>
        <v>上海医药</v>
      </c>
      <c r="F46" s="8">
        <v>15.67</v>
      </c>
      <c r="G46" s="8">
        <v>500</v>
      </c>
      <c r="H46" s="8">
        <v>7835</v>
      </c>
      <c r="I46" s="8">
        <v>-7843.92</v>
      </c>
      <c r="J46" s="8">
        <v>9108.84</v>
      </c>
      <c r="K46" s="8">
        <v>1500</v>
      </c>
      <c r="L46" s="8" t="str">
        <f t="shared" si="1"/>
        <v>人民币</v>
      </c>
      <c r="M46" s="8" t="str">
        <f>"1361000405"</f>
        <v>1361000405</v>
      </c>
      <c r="N46" s="8" t="str">
        <f t="shared" si="36"/>
        <v>A368402599</v>
      </c>
      <c r="O46" s="8" t="str">
        <f t="shared" si="3"/>
        <v>300100052893</v>
      </c>
    </row>
    <row r="47" spans="1:15">
      <c r="A47" s="8" t="str">
        <f>"20131127"</f>
        <v>20131127</v>
      </c>
      <c r="B47" s="8" t="str">
        <f>"20131127"</f>
        <v>20131127</v>
      </c>
      <c r="C47" s="8" t="str">
        <f t="shared" si="38"/>
        <v>证券卖出</v>
      </c>
      <c r="D47" s="8" t="str">
        <f t="shared" si="34"/>
        <v>601607</v>
      </c>
      <c r="E47" s="8" t="str">
        <f t="shared" si="35"/>
        <v>上海医药</v>
      </c>
      <c r="F47" s="8">
        <v>15.65</v>
      </c>
      <c r="G47" s="8">
        <v>500</v>
      </c>
      <c r="H47" s="8">
        <v>7825</v>
      </c>
      <c r="I47" s="8">
        <v>7808.26</v>
      </c>
      <c r="J47" s="8">
        <v>16917.1</v>
      </c>
      <c r="K47" s="8">
        <v>1000</v>
      </c>
      <c r="L47" s="8" t="str">
        <f t="shared" si="1"/>
        <v>人民币</v>
      </c>
      <c r="M47" s="8" t="str">
        <f>"1361003152"</f>
        <v>1361003152</v>
      </c>
      <c r="N47" s="8" t="str">
        <f t="shared" si="36"/>
        <v>A368402599</v>
      </c>
      <c r="O47" s="8" t="str">
        <f t="shared" si="3"/>
        <v>300100052893</v>
      </c>
    </row>
    <row r="48" spans="1:15">
      <c r="A48" s="8" t="str">
        <f>"20131128"</f>
        <v>20131128</v>
      </c>
      <c r="B48" s="8" t="str">
        <f>"20131128"</f>
        <v>20131128</v>
      </c>
      <c r="C48" s="8" t="str">
        <f t="shared" ref="C48:C53" si="39">"证券买入"</f>
        <v>证券买入</v>
      </c>
      <c r="D48" s="8" t="str">
        <f t="shared" ref="D48:D53" si="40">"000606"</f>
        <v>000606</v>
      </c>
      <c r="E48" s="8" t="str">
        <f t="shared" ref="E48:E53" si="41">"青海明胶"</f>
        <v>青海明胶</v>
      </c>
      <c r="F48" s="8">
        <v>7.59</v>
      </c>
      <c r="G48" s="8">
        <v>1000</v>
      </c>
      <c r="H48" s="8">
        <v>7590</v>
      </c>
      <c r="I48" s="8">
        <v>-7598.35</v>
      </c>
      <c r="J48" s="8">
        <v>9318.75</v>
      </c>
      <c r="K48" s="8">
        <v>3200</v>
      </c>
      <c r="L48" s="8" t="str">
        <f t="shared" si="1"/>
        <v>人民币</v>
      </c>
      <c r="M48" s="8" t="str">
        <f>"T4000564"</f>
        <v>T4000564</v>
      </c>
      <c r="N48" s="8" t="str">
        <f t="shared" ref="N48:N50" si="42">"0149593788"</f>
        <v>0149593788</v>
      </c>
      <c r="O48" s="8" t="str">
        <f t="shared" si="3"/>
        <v>300100052893</v>
      </c>
    </row>
    <row r="49" spans="1:15">
      <c r="A49" s="8" t="str">
        <f>"20131128"</f>
        <v>20131128</v>
      </c>
      <c r="B49" s="8" t="str">
        <f>"20131128"</f>
        <v>20131128</v>
      </c>
      <c r="C49" s="8" t="str">
        <f t="shared" si="38"/>
        <v>证券卖出</v>
      </c>
      <c r="D49" s="8" t="str">
        <f>"002500"</f>
        <v>002500</v>
      </c>
      <c r="E49" s="8" t="str">
        <f>"山西证券"</f>
        <v>山西证券</v>
      </c>
      <c r="F49" s="8">
        <v>6.76</v>
      </c>
      <c r="G49" s="8">
        <v>600</v>
      </c>
      <c r="H49" s="8">
        <v>4056</v>
      </c>
      <c r="I49" s="8">
        <v>4046.94</v>
      </c>
      <c r="J49" s="8">
        <v>13365.69</v>
      </c>
      <c r="K49" s="8">
        <v>0</v>
      </c>
      <c r="L49" s="8" t="str">
        <f t="shared" si="1"/>
        <v>人民币</v>
      </c>
      <c r="M49" s="8" t="str">
        <f>"T4004400"</f>
        <v>T4004400</v>
      </c>
      <c r="N49" s="8" t="str">
        <f t="shared" si="42"/>
        <v>0149593788</v>
      </c>
      <c r="O49" s="8" t="str">
        <f t="shared" si="3"/>
        <v>300100052893</v>
      </c>
    </row>
    <row r="50" spans="1:15">
      <c r="A50" s="8" t="str">
        <f>"20131129"</f>
        <v>20131129</v>
      </c>
      <c r="B50" s="8" t="str">
        <f>"20131129"</f>
        <v>20131129</v>
      </c>
      <c r="C50" s="8" t="str">
        <f t="shared" si="38"/>
        <v>证券卖出</v>
      </c>
      <c r="D50" s="8" t="str">
        <f t="shared" si="40"/>
        <v>000606</v>
      </c>
      <c r="E50" s="8" t="str">
        <f t="shared" si="41"/>
        <v>青海明胶</v>
      </c>
      <c r="F50" s="8">
        <v>7.53</v>
      </c>
      <c r="G50" s="8">
        <v>1000</v>
      </c>
      <c r="H50" s="8">
        <v>7530</v>
      </c>
      <c r="I50" s="8">
        <v>7514.19</v>
      </c>
      <c r="J50" s="8">
        <v>20879.88</v>
      </c>
      <c r="K50" s="8">
        <v>2200</v>
      </c>
      <c r="L50" s="8" t="str">
        <f t="shared" si="1"/>
        <v>人民币</v>
      </c>
      <c r="M50" s="8" t="str">
        <f>"T4003655"</f>
        <v>T4003655</v>
      </c>
      <c r="N50" s="8" t="str">
        <f t="shared" si="42"/>
        <v>0149593788</v>
      </c>
      <c r="O50" s="8" t="str">
        <f t="shared" si="3"/>
        <v>300100052893</v>
      </c>
    </row>
    <row r="51" spans="1:15">
      <c r="A51" s="8" t="str">
        <f t="shared" ref="A51:A53" si="43">"20131203"</f>
        <v>20131203</v>
      </c>
      <c r="B51" s="8" t="str">
        <f t="shared" ref="B51:B53" si="44">"20131203"</f>
        <v>20131203</v>
      </c>
      <c r="C51" s="8" t="str">
        <f t="shared" si="39"/>
        <v>证券买入</v>
      </c>
      <c r="D51" s="8" t="str">
        <f>"601607"</f>
        <v>601607</v>
      </c>
      <c r="E51" s="8" t="str">
        <f>"上海医药"</f>
        <v>上海医药</v>
      </c>
      <c r="F51" s="8">
        <v>14.9</v>
      </c>
      <c r="G51" s="8">
        <v>500</v>
      </c>
      <c r="H51" s="8">
        <v>7450</v>
      </c>
      <c r="I51" s="8">
        <v>-7458.5</v>
      </c>
      <c r="J51" s="8">
        <v>13421.38</v>
      </c>
      <c r="K51" s="8">
        <v>1500</v>
      </c>
      <c r="L51" s="8" t="str">
        <f t="shared" si="1"/>
        <v>人民币</v>
      </c>
      <c r="M51" s="8" t="str">
        <f>"1361000861"</f>
        <v>1361000861</v>
      </c>
      <c r="N51" s="8" t="str">
        <f>"A368402599"</f>
        <v>A368402599</v>
      </c>
      <c r="O51" s="8" t="str">
        <f t="shared" si="3"/>
        <v>300100052893</v>
      </c>
    </row>
    <row r="52" spans="1:15">
      <c r="A52" s="8" t="str">
        <f t="shared" si="43"/>
        <v>20131203</v>
      </c>
      <c r="B52" s="8" t="str">
        <f t="shared" si="44"/>
        <v>20131203</v>
      </c>
      <c r="C52" s="8" t="str">
        <f t="shared" si="39"/>
        <v>证券买入</v>
      </c>
      <c r="D52" s="8" t="str">
        <f>"601607"</f>
        <v>601607</v>
      </c>
      <c r="E52" s="8" t="str">
        <f>"上海医药"</f>
        <v>上海医药</v>
      </c>
      <c r="F52" s="8">
        <v>15.03</v>
      </c>
      <c r="G52" s="8">
        <v>500</v>
      </c>
      <c r="H52" s="8">
        <v>7515</v>
      </c>
      <c r="I52" s="8">
        <v>-7523.57</v>
      </c>
      <c r="J52" s="8">
        <v>5897.81</v>
      </c>
      <c r="K52" s="8">
        <v>2000</v>
      </c>
      <c r="L52" s="8" t="str">
        <f t="shared" si="1"/>
        <v>人民币</v>
      </c>
      <c r="M52" s="8" t="str">
        <f>"1361001409"</f>
        <v>1361001409</v>
      </c>
      <c r="N52" s="8" t="str">
        <f>"A368402599"</f>
        <v>A368402599</v>
      </c>
      <c r="O52" s="8" t="str">
        <f t="shared" si="3"/>
        <v>300100052893</v>
      </c>
    </row>
    <row r="53" spans="1:15">
      <c r="A53" s="8" t="str">
        <f t="shared" si="43"/>
        <v>20131203</v>
      </c>
      <c r="B53" s="8" t="str">
        <f t="shared" si="44"/>
        <v>20131203</v>
      </c>
      <c r="C53" s="8" t="str">
        <f t="shared" si="39"/>
        <v>证券买入</v>
      </c>
      <c r="D53" s="8" t="str">
        <f t="shared" si="40"/>
        <v>000606</v>
      </c>
      <c r="E53" s="8" t="str">
        <f t="shared" si="41"/>
        <v>青海明胶</v>
      </c>
      <c r="F53" s="8">
        <v>7.36</v>
      </c>
      <c r="G53" s="8">
        <v>800</v>
      </c>
      <c r="H53" s="8">
        <v>5888</v>
      </c>
      <c r="I53" s="8">
        <v>-5894.48</v>
      </c>
      <c r="J53" s="8">
        <v>3.33</v>
      </c>
      <c r="K53" s="8">
        <v>3000</v>
      </c>
      <c r="L53" s="8" t="str">
        <f t="shared" si="1"/>
        <v>人民币</v>
      </c>
      <c r="M53" s="8" t="str">
        <f>"T4003181"</f>
        <v>T4003181</v>
      </c>
      <c r="N53" s="8" t="str">
        <f>"0149593788"</f>
        <v>0149593788</v>
      </c>
      <c r="O53" s="8" t="str">
        <f t="shared" si="3"/>
        <v>300100052893</v>
      </c>
    </row>
    <row r="54" spans="1:15">
      <c r="A54" s="8" t="str">
        <f>"20131220"</f>
        <v>20131220</v>
      </c>
      <c r="B54" s="8" t="str">
        <f>"20131220"</f>
        <v>20131220</v>
      </c>
      <c r="C54" s="8" t="str">
        <f>"利息归本"</f>
        <v>利息归本</v>
      </c>
      <c r="F54" s="8">
        <v>0</v>
      </c>
      <c r="G54" s="8">
        <v>0</v>
      </c>
      <c r="H54" s="8">
        <v>0</v>
      </c>
      <c r="I54" s="8">
        <v>6.23</v>
      </c>
      <c r="J54" s="8">
        <v>9.56</v>
      </c>
      <c r="K54" s="8">
        <v>0</v>
      </c>
      <c r="L54" s="8" t="str">
        <f t="shared" si="1"/>
        <v>人民币</v>
      </c>
      <c r="O54" s="8" t="str">
        <f t="shared" si="3"/>
        <v>300100052893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workbookViewId="0">
      <selection activeCell="A2" sqref="A2:K7"/>
    </sheetView>
  </sheetViews>
  <sheetFormatPr defaultColWidth="9" defaultRowHeight="13.5" outlineLevelRow="6"/>
  <cols>
    <col min="1" max="16384" width="9" style="8"/>
  </cols>
  <sheetData>
    <row r="1" spans="1:15">
      <c r="A1" s="8" t="str">
        <f>"成交日期"</f>
        <v>成交日期</v>
      </c>
      <c r="B1" s="8" t="str">
        <f>"委托日期"</f>
        <v>委托日期</v>
      </c>
      <c r="C1" s="8" t="str">
        <f>"业务类型"</f>
        <v>业务类型</v>
      </c>
      <c r="D1" s="8" t="str">
        <f>"证券代码"</f>
        <v>证券代码</v>
      </c>
      <c r="E1" s="8" t="str">
        <f>"证券名称"</f>
        <v>证券名称</v>
      </c>
      <c r="F1" s="8" t="str">
        <f>"成交价格"</f>
        <v>成交价格</v>
      </c>
      <c r="G1" s="8" t="str">
        <f>"成交数量"</f>
        <v>成交数量</v>
      </c>
      <c r="H1" s="8" t="str">
        <f>"成交金额"</f>
        <v>成交金额</v>
      </c>
      <c r="I1" s="8" t="str">
        <f>"发生金额"</f>
        <v>发生金额</v>
      </c>
      <c r="J1" s="8" t="str">
        <f>"资金余额"</f>
        <v>资金余额</v>
      </c>
      <c r="K1" s="8" t="str">
        <f>"当前持仓"</f>
        <v>当前持仓</v>
      </c>
      <c r="L1" s="8" t="str">
        <f>"币种"</f>
        <v>币种</v>
      </c>
      <c r="M1" s="8" t="str">
        <f>"协议编号"</f>
        <v>协议编号</v>
      </c>
      <c r="N1" s="8" t="str">
        <f>"股东代码"</f>
        <v>股东代码</v>
      </c>
      <c r="O1" s="8" t="str">
        <f>"产品账号"</f>
        <v>产品账号</v>
      </c>
    </row>
    <row r="2" spans="1:15">
      <c r="A2" s="8" t="str">
        <f>"20140129"</f>
        <v>20140129</v>
      </c>
      <c r="B2" s="8" t="str">
        <f>"20140129"</f>
        <v>20140129</v>
      </c>
      <c r="C2" s="8" t="str">
        <f>"银行转证券"</f>
        <v>银行转证券</v>
      </c>
      <c r="F2" s="8">
        <v>0</v>
      </c>
      <c r="G2" s="8">
        <v>0</v>
      </c>
      <c r="H2" s="8">
        <v>0</v>
      </c>
      <c r="I2" s="8">
        <v>5300</v>
      </c>
      <c r="J2" s="8">
        <v>5309.56</v>
      </c>
      <c r="K2" s="8">
        <v>0</v>
      </c>
      <c r="L2" s="8" t="str">
        <f t="shared" ref="L2:L7" si="0">"人民币"</f>
        <v>人民币</v>
      </c>
      <c r="O2" s="8" t="str">
        <f t="shared" ref="O2:O7" si="1">"300100052893"</f>
        <v>300100052893</v>
      </c>
    </row>
    <row r="3" spans="1:15">
      <c r="A3" s="8" t="str">
        <f>"20140129"</f>
        <v>20140129</v>
      </c>
      <c r="B3" s="8" t="str">
        <f>"20140129"</f>
        <v>20140129</v>
      </c>
      <c r="C3" s="8" t="str">
        <f>"证券买入"</f>
        <v>证券买入</v>
      </c>
      <c r="D3" s="8" t="str">
        <f>"601398"</f>
        <v>601398</v>
      </c>
      <c r="E3" s="8" t="str">
        <f>"工商银行"</f>
        <v>工商银行</v>
      </c>
      <c r="F3" s="8">
        <v>3.41</v>
      </c>
      <c r="G3" s="8">
        <v>1500</v>
      </c>
      <c r="H3" s="8">
        <v>5115</v>
      </c>
      <c r="I3" s="8">
        <v>-5121.53</v>
      </c>
      <c r="J3" s="8">
        <v>188.03</v>
      </c>
      <c r="K3" s="8">
        <v>1500</v>
      </c>
      <c r="L3" s="8" t="str">
        <f t="shared" si="0"/>
        <v>人民币</v>
      </c>
      <c r="M3" s="8" t="str">
        <f>"1361001052"</f>
        <v>1361001052</v>
      </c>
      <c r="N3" s="8" t="str">
        <f>"A368402599"</f>
        <v>A368402599</v>
      </c>
      <c r="O3" s="8" t="str">
        <f t="shared" si="1"/>
        <v>300100052893</v>
      </c>
    </row>
    <row r="4" spans="1:15">
      <c r="A4" s="8" t="str">
        <f>"20140318"</f>
        <v>20140318</v>
      </c>
      <c r="B4" s="8" t="str">
        <f>"20140318"</f>
        <v>20140318</v>
      </c>
      <c r="C4" s="8" t="str">
        <f>"证券卖出"</f>
        <v>证券卖出</v>
      </c>
      <c r="D4" s="8" t="str">
        <f t="shared" ref="D4:D7" si="2">"000606"</f>
        <v>000606</v>
      </c>
      <c r="E4" s="8" t="str">
        <f t="shared" ref="E4:E7" si="3">"青海明胶"</f>
        <v>青海明胶</v>
      </c>
      <c r="F4" s="8">
        <v>7.07</v>
      </c>
      <c r="G4" s="8">
        <v>500</v>
      </c>
      <c r="H4" s="8">
        <v>3535</v>
      </c>
      <c r="I4" s="8">
        <v>3526.46</v>
      </c>
      <c r="J4" s="8">
        <v>3714.49</v>
      </c>
      <c r="K4" s="8">
        <v>2500</v>
      </c>
      <c r="L4" s="8" t="str">
        <f t="shared" si="0"/>
        <v>人民币</v>
      </c>
      <c r="M4" s="8" t="str">
        <f>"T4002854"</f>
        <v>T4002854</v>
      </c>
      <c r="N4" s="8" t="str">
        <f t="shared" ref="N4:N7" si="4">"0149593788"</f>
        <v>0149593788</v>
      </c>
      <c r="O4" s="8" t="str">
        <f t="shared" si="1"/>
        <v>300100052893</v>
      </c>
    </row>
    <row r="5" spans="1:15">
      <c r="A5" s="8" t="str">
        <f>"20140318"</f>
        <v>20140318</v>
      </c>
      <c r="B5" s="8" t="str">
        <f>"20140318"</f>
        <v>20140318</v>
      </c>
      <c r="C5" s="8" t="str">
        <f>"证券卖出"</f>
        <v>证券卖出</v>
      </c>
      <c r="D5" s="8" t="str">
        <f t="shared" si="2"/>
        <v>000606</v>
      </c>
      <c r="E5" s="8" t="str">
        <f t="shared" si="3"/>
        <v>青海明胶</v>
      </c>
      <c r="F5" s="8">
        <v>7.05</v>
      </c>
      <c r="G5" s="8">
        <v>500</v>
      </c>
      <c r="H5" s="8">
        <v>3525</v>
      </c>
      <c r="I5" s="8">
        <v>3516.47</v>
      </c>
      <c r="J5" s="8">
        <v>7230.96</v>
      </c>
      <c r="K5" s="8">
        <v>2000</v>
      </c>
      <c r="L5" s="8" t="str">
        <f t="shared" si="0"/>
        <v>人民币</v>
      </c>
      <c r="M5" s="8" t="str">
        <f>"T4002933"</f>
        <v>T4002933</v>
      </c>
      <c r="N5" s="8" t="str">
        <f t="shared" si="4"/>
        <v>0149593788</v>
      </c>
      <c r="O5" s="8" t="str">
        <f t="shared" si="1"/>
        <v>300100052893</v>
      </c>
    </row>
    <row r="6" spans="1:15">
      <c r="A6" s="8" t="str">
        <f>"20140320"</f>
        <v>20140320</v>
      </c>
      <c r="B6" s="8" t="str">
        <f>"20140320"</f>
        <v>20140320</v>
      </c>
      <c r="C6" s="8" t="str">
        <f>"利息归本"</f>
        <v>利息归本</v>
      </c>
      <c r="F6" s="8">
        <v>0</v>
      </c>
      <c r="G6" s="8">
        <v>0</v>
      </c>
      <c r="H6" s="8">
        <v>0</v>
      </c>
      <c r="I6" s="8">
        <v>0.22</v>
      </c>
      <c r="J6" s="8">
        <v>7231.18</v>
      </c>
      <c r="K6" s="8">
        <v>0</v>
      </c>
      <c r="L6" s="8" t="str">
        <f t="shared" si="0"/>
        <v>人民币</v>
      </c>
      <c r="O6" s="8" t="str">
        <f t="shared" si="1"/>
        <v>300100052893</v>
      </c>
    </row>
    <row r="7" spans="1:15">
      <c r="A7" s="8" t="str">
        <f>"20140321"</f>
        <v>20140321</v>
      </c>
      <c r="B7" s="8" t="str">
        <f>"20140321"</f>
        <v>20140321</v>
      </c>
      <c r="C7" s="8" t="str">
        <f>"证券买入"</f>
        <v>证券买入</v>
      </c>
      <c r="D7" s="8" t="str">
        <f t="shared" si="2"/>
        <v>000606</v>
      </c>
      <c r="E7" s="8" t="str">
        <f t="shared" si="3"/>
        <v>青海明胶</v>
      </c>
      <c r="F7" s="8">
        <v>6.26</v>
      </c>
      <c r="G7" s="8">
        <v>1100</v>
      </c>
      <c r="H7" s="8">
        <v>6886</v>
      </c>
      <c r="I7" s="8">
        <v>-6893.57</v>
      </c>
      <c r="J7" s="8">
        <v>337.61</v>
      </c>
      <c r="K7" s="8">
        <v>3100</v>
      </c>
      <c r="L7" s="8" t="str">
        <f t="shared" si="0"/>
        <v>人民币</v>
      </c>
      <c r="M7" s="8" t="str">
        <f>"T4002210"</f>
        <v>T4002210</v>
      </c>
      <c r="N7" s="8" t="str">
        <f t="shared" si="4"/>
        <v>0149593788</v>
      </c>
      <c r="O7" s="8" t="str">
        <f t="shared" si="1"/>
        <v>300100052893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workbookViewId="0">
      <selection activeCell="A2" sqref="A2:K16"/>
    </sheetView>
  </sheetViews>
  <sheetFormatPr defaultColWidth="9" defaultRowHeight="13.5"/>
  <cols>
    <col min="1" max="16384" width="9" style="8"/>
  </cols>
  <sheetData>
    <row r="1" spans="1:15">
      <c r="A1" s="8" t="str">
        <f>"成交日期"</f>
        <v>成交日期</v>
      </c>
      <c r="B1" s="8" t="str">
        <f>"委托日期"</f>
        <v>委托日期</v>
      </c>
      <c r="C1" s="8" t="str">
        <f>"业务类型"</f>
        <v>业务类型</v>
      </c>
      <c r="D1" s="8" t="str">
        <f>"证券代码"</f>
        <v>证券代码</v>
      </c>
      <c r="E1" s="8" t="str">
        <f>"证券名称"</f>
        <v>证券名称</v>
      </c>
      <c r="F1" s="8" t="str">
        <f>"成交价格"</f>
        <v>成交价格</v>
      </c>
      <c r="G1" s="8" t="str">
        <f>"成交数量"</f>
        <v>成交数量</v>
      </c>
      <c r="H1" s="8" t="str">
        <f>"成交金额"</f>
        <v>成交金额</v>
      </c>
      <c r="I1" s="8" t="str">
        <f>"发生金额"</f>
        <v>发生金额</v>
      </c>
      <c r="J1" s="8" t="str">
        <f>"资金余额"</f>
        <v>资金余额</v>
      </c>
      <c r="K1" s="8" t="str">
        <f>"当前持仓"</f>
        <v>当前持仓</v>
      </c>
      <c r="L1" s="8" t="str">
        <f>"币种"</f>
        <v>币种</v>
      </c>
      <c r="M1" s="8" t="str">
        <f>"协议编号"</f>
        <v>协议编号</v>
      </c>
      <c r="N1" s="8" t="str">
        <f>"股东代码"</f>
        <v>股东代码</v>
      </c>
      <c r="O1" s="8" t="str">
        <f>"产品账号"</f>
        <v>产品账号</v>
      </c>
    </row>
    <row r="2" spans="1:15">
      <c r="A2" s="8" t="str">
        <f>"20140521"</f>
        <v>20140521</v>
      </c>
      <c r="B2" s="8" t="str">
        <f>"20140521"</f>
        <v>20140521</v>
      </c>
      <c r="C2" s="8" t="str">
        <f>"证券卖出"</f>
        <v>证券卖出</v>
      </c>
      <c r="D2" s="8" t="str">
        <f>"000606"</f>
        <v>000606</v>
      </c>
      <c r="E2" s="8" t="str">
        <f>"青海明胶"</f>
        <v>青海明胶</v>
      </c>
      <c r="F2" s="8">
        <v>5.34</v>
      </c>
      <c r="G2" s="8">
        <v>1100</v>
      </c>
      <c r="H2" s="8">
        <v>5874</v>
      </c>
      <c r="I2" s="8">
        <v>5861.67</v>
      </c>
      <c r="J2" s="8">
        <v>6199.28</v>
      </c>
      <c r="K2" s="8">
        <v>2000</v>
      </c>
      <c r="L2" s="8" t="str">
        <f t="shared" ref="L2:L16" si="0">"人民币"</f>
        <v>人民币</v>
      </c>
      <c r="M2" s="8" t="str">
        <f>"T4000607"</f>
        <v>T4000607</v>
      </c>
      <c r="N2" s="8" t="str">
        <f>"0149593788"</f>
        <v>0149593788</v>
      </c>
      <c r="O2" s="8" t="str">
        <f t="shared" ref="O2:O16" si="1">"300100052893"</f>
        <v>300100052893</v>
      </c>
    </row>
    <row r="3" spans="1:15">
      <c r="A3" s="8" t="str">
        <f>"20140521"</f>
        <v>20140521</v>
      </c>
      <c r="B3" s="8" t="str">
        <f>"20140521"</f>
        <v>20140521</v>
      </c>
      <c r="C3" s="8" t="str">
        <f>"证券买入"</f>
        <v>证券买入</v>
      </c>
      <c r="D3" s="8" t="str">
        <f>"601607"</f>
        <v>601607</v>
      </c>
      <c r="E3" s="8" t="str">
        <f>"上海医药"</f>
        <v>上海医药</v>
      </c>
      <c r="F3" s="8">
        <v>12.07</v>
      </c>
      <c r="G3" s="8">
        <v>500</v>
      </c>
      <c r="H3" s="8">
        <v>6035</v>
      </c>
      <c r="I3" s="8">
        <v>-6041.94</v>
      </c>
      <c r="J3" s="8">
        <v>157.34</v>
      </c>
      <c r="K3" s="8">
        <v>2500</v>
      </c>
      <c r="L3" s="8" t="str">
        <f t="shared" si="0"/>
        <v>人民币</v>
      </c>
      <c r="M3" s="8" t="str">
        <f>"1361000564"</f>
        <v>1361000564</v>
      </c>
      <c r="N3" s="8" t="str">
        <f t="shared" ref="N3:N10" si="2">"A368402599"</f>
        <v>A368402599</v>
      </c>
      <c r="O3" s="8" t="str">
        <f t="shared" si="1"/>
        <v>300100052893</v>
      </c>
    </row>
    <row r="4" spans="1:15">
      <c r="A4" s="8" t="str">
        <f t="shared" ref="A4:A9" si="3">"20140529"</f>
        <v>20140529</v>
      </c>
      <c r="B4" s="8" t="str">
        <f t="shared" ref="B4:B9" si="4">"20140529"</f>
        <v>20140529</v>
      </c>
      <c r="C4" s="8" t="str">
        <f t="shared" ref="C4:C6" si="5">"银行转证券"</f>
        <v>银行转证券</v>
      </c>
      <c r="F4" s="8">
        <v>0</v>
      </c>
      <c r="G4" s="8">
        <v>0</v>
      </c>
      <c r="H4" s="8">
        <v>0</v>
      </c>
      <c r="I4" s="8">
        <v>10000</v>
      </c>
      <c r="J4" s="8">
        <v>10157.34</v>
      </c>
      <c r="K4" s="8">
        <v>0</v>
      </c>
      <c r="L4" s="8" t="str">
        <f t="shared" si="0"/>
        <v>人民币</v>
      </c>
      <c r="O4" s="8" t="str">
        <f t="shared" si="1"/>
        <v>300100052893</v>
      </c>
    </row>
    <row r="5" spans="1:15">
      <c r="A5" s="8" t="str">
        <f t="shared" si="3"/>
        <v>20140529</v>
      </c>
      <c r="B5" s="8" t="str">
        <f t="shared" si="4"/>
        <v>20140529</v>
      </c>
      <c r="C5" s="8" t="str">
        <f t="shared" si="5"/>
        <v>银行转证券</v>
      </c>
      <c r="F5" s="8">
        <v>0</v>
      </c>
      <c r="G5" s="8">
        <v>0</v>
      </c>
      <c r="H5" s="8">
        <v>0</v>
      </c>
      <c r="I5" s="8">
        <v>5000</v>
      </c>
      <c r="J5" s="8">
        <v>15157.34</v>
      </c>
      <c r="K5" s="8">
        <v>0</v>
      </c>
      <c r="L5" s="8" t="str">
        <f t="shared" si="0"/>
        <v>人民币</v>
      </c>
      <c r="O5" s="8" t="str">
        <f t="shared" si="1"/>
        <v>300100052893</v>
      </c>
    </row>
    <row r="6" spans="1:15">
      <c r="A6" s="8" t="str">
        <f t="shared" si="3"/>
        <v>20140529</v>
      </c>
      <c r="B6" s="8" t="str">
        <f t="shared" si="4"/>
        <v>20140529</v>
      </c>
      <c r="C6" s="8" t="str">
        <f t="shared" si="5"/>
        <v>银行转证券</v>
      </c>
      <c r="F6" s="8">
        <v>0</v>
      </c>
      <c r="G6" s="8">
        <v>0</v>
      </c>
      <c r="H6" s="8">
        <v>0</v>
      </c>
      <c r="I6" s="8">
        <v>111.36</v>
      </c>
      <c r="J6" s="8">
        <v>15268.7</v>
      </c>
      <c r="K6" s="8">
        <v>0</v>
      </c>
      <c r="L6" s="8" t="str">
        <f t="shared" si="0"/>
        <v>人民币</v>
      </c>
      <c r="O6" s="8" t="str">
        <f t="shared" si="1"/>
        <v>300100052893</v>
      </c>
    </row>
    <row r="7" spans="1:15">
      <c r="A7" s="8" t="str">
        <f t="shared" si="3"/>
        <v>20140529</v>
      </c>
      <c r="B7" s="8" t="str">
        <f t="shared" si="4"/>
        <v>20140529</v>
      </c>
      <c r="C7" s="8" t="str">
        <f>"红利入账"</f>
        <v>红利入账</v>
      </c>
      <c r="D7" s="8" t="str">
        <f>"601607"</f>
        <v>601607</v>
      </c>
      <c r="E7" s="8" t="str">
        <f>"上海医药"</f>
        <v>上海医药</v>
      </c>
      <c r="F7" s="8">
        <v>0</v>
      </c>
      <c r="G7" s="8">
        <v>2500</v>
      </c>
      <c r="H7" s="8">
        <v>617.5</v>
      </c>
      <c r="I7" s="8">
        <v>617.5</v>
      </c>
      <c r="J7" s="8">
        <v>15886.2</v>
      </c>
      <c r="K7" s="8">
        <v>0</v>
      </c>
      <c r="L7" s="8" t="str">
        <f t="shared" si="0"/>
        <v>人民币</v>
      </c>
      <c r="N7" s="8" t="str">
        <f t="shared" si="2"/>
        <v>A368402599</v>
      </c>
      <c r="O7" s="8" t="str">
        <f t="shared" si="1"/>
        <v>300100052893</v>
      </c>
    </row>
    <row r="8" spans="1:15">
      <c r="A8" s="8" t="str">
        <f t="shared" si="3"/>
        <v>20140529</v>
      </c>
      <c r="B8" s="8" t="str">
        <f t="shared" si="4"/>
        <v>20140529</v>
      </c>
      <c r="C8" s="8" t="str">
        <f t="shared" ref="C8:C12" si="6">"证券买入"</f>
        <v>证券买入</v>
      </c>
      <c r="D8" s="8" t="str">
        <f>"122535"</f>
        <v>122535</v>
      </c>
      <c r="E8" s="8" t="str">
        <f>"12苏飞达"</f>
        <v>12苏飞达</v>
      </c>
      <c r="F8" s="8">
        <v>101.074</v>
      </c>
      <c r="G8" s="8">
        <v>100</v>
      </c>
      <c r="H8" s="8">
        <v>10107.44</v>
      </c>
      <c r="I8" s="8">
        <v>-10109.46</v>
      </c>
      <c r="J8" s="8">
        <v>5776.74</v>
      </c>
      <c r="K8" s="8">
        <v>100</v>
      </c>
      <c r="L8" s="8" t="str">
        <f t="shared" si="0"/>
        <v>人民币</v>
      </c>
      <c r="M8" s="8" t="str">
        <f>"1361001442"</f>
        <v>1361001442</v>
      </c>
      <c r="N8" s="8" t="str">
        <f t="shared" si="2"/>
        <v>A368402599</v>
      </c>
      <c r="O8" s="8" t="str">
        <f t="shared" si="1"/>
        <v>300100052893</v>
      </c>
    </row>
    <row r="9" spans="1:15">
      <c r="A9" s="8" t="str">
        <f t="shared" si="3"/>
        <v>20140529</v>
      </c>
      <c r="B9" s="8" t="str">
        <f t="shared" si="4"/>
        <v>20140529</v>
      </c>
      <c r="C9" s="8" t="str">
        <f t="shared" si="6"/>
        <v>证券买入</v>
      </c>
      <c r="D9" s="8" t="str">
        <f>"600583"</f>
        <v>600583</v>
      </c>
      <c r="E9" s="8" t="str">
        <f>"海油工程"</f>
        <v>海油工程</v>
      </c>
      <c r="F9" s="8">
        <v>7.34</v>
      </c>
      <c r="G9" s="8">
        <v>700</v>
      </c>
      <c r="H9" s="8">
        <v>5138</v>
      </c>
      <c r="I9" s="8">
        <v>-5144.07</v>
      </c>
      <c r="J9" s="8">
        <v>632.67</v>
      </c>
      <c r="K9" s="8">
        <v>700</v>
      </c>
      <c r="L9" s="8" t="str">
        <f t="shared" si="0"/>
        <v>人民币</v>
      </c>
      <c r="M9" s="8" t="str">
        <f>"1361001875"</f>
        <v>1361001875</v>
      </c>
      <c r="N9" s="8" t="str">
        <f t="shared" si="2"/>
        <v>A368402599</v>
      </c>
      <c r="O9" s="8" t="str">
        <f t="shared" si="1"/>
        <v>300100052893</v>
      </c>
    </row>
    <row r="10" spans="1:15">
      <c r="A10" s="8" t="str">
        <f>"20140616"</f>
        <v>20140616</v>
      </c>
      <c r="B10" s="8" t="str">
        <f>"20140616"</f>
        <v>20140616</v>
      </c>
      <c r="C10" s="8" t="str">
        <f t="shared" ref="C10:C14" si="7">"红利入账"</f>
        <v>红利入账</v>
      </c>
      <c r="D10" s="8" t="str">
        <f>"600583"</f>
        <v>600583</v>
      </c>
      <c r="E10" s="8" t="str">
        <f>"海油工程"</f>
        <v>海油工程</v>
      </c>
      <c r="F10" s="8">
        <v>0</v>
      </c>
      <c r="G10" s="8">
        <v>700</v>
      </c>
      <c r="H10" s="8">
        <v>66.5</v>
      </c>
      <c r="I10" s="8">
        <v>66.5</v>
      </c>
      <c r="J10" s="8">
        <v>699.17</v>
      </c>
      <c r="K10" s="8">
        <v>0</v>
      </c>
      <c r="L10" s="8" t="str">
        <f t="shared" si="0"/>
        <v>人民币</v>
      </c>
      <c r="N10" s="8" t="str">
        <f t="shared" si="2"/>
        <v>A368402599</v>
      </c>
      <c r="O10" s="8" t="str">
        <f t="shared" si="1"/>
        <v>300100052893</v>
      </c>
    </row>
    <row r="11" spans="1:15">
      <c r="A11" s="8" t="str">
        <f>"20140617"</f>
        <v>20140617</v>
      </c>
      <c r="B11" s="8" t="str">
        <f>"20140617"</f>
        <v>20140617</v>
      </c>
      <c r="C11" s="8" t="str">
        <f>"银行转证券"</f>
        <v>银行转证券</v>
      </c>
      <c r="F11" s="8">
        <v>0</v>
      </c>
      <c r="G11" s="8">
        <v>0</v>
      </c>
      <c r="H11" s="8">
        <v>0</v>
      </c>
      <c r="I11" s="8">
        <v>7400</v>
      </c>
      <c r="J11" s="8">
        <v>8099.17</v>
      </c>
      <c r="K11" s="8">
        <v>0</v>
      </c>
      <c r="L11" s="8" t="str">
        <f t="shared" si="0"/>
        <v>人民币</v>
      </c>
      <c r="O11" s="8" t="str">
        <f t="shared" si="1"/>
        <v>300100052893</v>
      </c>
    </row>
    <row r="12" spans="1:15">
      <c r="A12" s="8" t="str">
        <f>"20140617"</f>
        <v>20140617</v>
      </c>
      <c r="B12" s="8" t="str">
        <f>"20140617"</f>
        <v>20140617</v>
      </c>
      <c r="C12" s="8" t="str">
        <f t="shared" si="6"/>
        <v>证券买入</v>
      </c>
      <c r="D12" s="8" t="str">
        <f>"122535"</f>
        <v>122535</v>
      </c>
      <c r="E12" s="8" t="str">
        <f>"12苏飞达"</f>
        <v>12苏飞达</v>
      </c>
      <c r="F12" s="8">
        <v>101.06</v>
      </c>
      <c r="G12" s="8">
        <v>80</v>
      </c>
      <c r="H12" s="8">
        <v>8084.8</v>
      </c>
      <c r="I12" s="8">
        <v>-8086.42</v>
      </c>
      <c r="J12" s="8">
        <v>12.75</v>
      </c>
      <c r="K12" s="8">
        <v>180</v>
      </c>
      <c r="L12" s="8" t="str">
        <f t="shared" si="0"/>
        <v>人民币</v>
      </c>
      <c r="M12" s="8" t="str">
        <f>"1361001793"</f>
        <v>1361001793</v>
      </c>
      <c r="N12" s="8" t="str">
        <f>"A368402599"</f>
        <v>A368402599</v>
      </c>
      <c r="O12" s="8" t="str">
        <f t="shared" si="1"/>
        <v>300100052893</v>
      </c>
    </row>
    <row r="13" spans="1:15">
      <c r="A13" s="8" t="str">
        <f>"20140619"</f>
        <v>20140619</v>
      </c>
      <c r="B13" s="8" t="str">
        <f>"20140619"</f>
        <v>20140619</v>
      </c>
      <c r="C13" s="8" t="str">
        <f t="shared" si="7"/>
        <v>红利入账</v>
      </c>
      <c r="D13" s="8" t="str">
        <f>"000606"</f>
        <v>000606</v>
      </c>
      <c r="E13" s="8" t="str">
        <f>"青海明胶"</f>
        <v>青海明胶</v>
      </c>
      <c r="F13" s="8">
        <v>0</v>
      </c>
      <c r="G13" s="8">
        <v>0</v>
      </c>
      <c r="H13" s="8">
        <v>38</v>
      </c>
      <c r="I13" s="8">
        <v>38</v>
      </c>
      <c r="J13" s="8">
        <v>50.75</v>
      </c>
      <c r="K13" s="8">
        <v>0</v>
      </c>
      <c r="L13" s="8" t="str">
        <f t="shared" si="0"/>
        <v>人民币</v>
      </c>
      <c r="N13" s="8" t="str">
        <f>"0149593788"</f>
        <v>0149593788</v>
      </c>
      <c r="O13" s="8" t="str">
        <f t="shared" si="1"/>
        <v>300100052893</v>
      </c>
    </row>
    <row r="14" spans="1:15">
      <c r="A14" s="8" t="str">
        <f>"20140619"</f>
        <v>20140619</v>
      </c>
      <c r="B14" s="8" t="str">
        <f>"20140619"</f>
        <v>20140619</v>
      </c>
      <c r="C14" s="8" t="str">
        <f t="shared" si="7"/>
        <v>红利入账</v>
      </c>
      <c r="D14" s="8" t="str">
        <f>"601398"</f>
        <v>601398</v>
      </c>
      <c r="E14" s="8" t="str">
        <f>"工商银行"</f>
        <v>工商银行</v>
      </c>
      <c r="F14" s="8">
        <v>0</v>
      </c>
      <c r="G14" s="8">
        <v>1500</v>
      </c>
      <c r="H14" s="8">
        <v>372.93</v>
      </c>
      <c r="I14" s="8">
        <v>372.93</v>
      </c>
      <c r="J14" s="8">
        <v>423.68</v>
      </c>
      <c r="K14" s="8">
        <v>0</v>
      </c>
      <c r="L14" s="8" t="str">
        <f t="shared" si="0"/>
        <v>人民币</v>
      </c>
      <c r="N14" s="8" t="str">
        <f>"A368402599"</f>
        <v>A368402599</v>
      </c>
      <c r="O14" s="8" t="str">
        <f t="shared" si="1"/>
        <v>300100052893</v>
      </c>
    </row>
    <row r="15" spans="1:15">
      <c r="A15" s="8" t="str">
        <f>"20140620"</f>
        <v>20140620</v>
      </c>
      <c r="B15" s="8" t="str">
        <f>"20140620"</f>
        <v>20140620</v>
      </c>
      <c r="C15" s="8" t="str">
        <f>"利息归本"</f>
        <v>利息归本</v>
      </c>
      <c r="F15" s="8">
        <v>0</v>
      </c>
      <c r="G15" s="8">
        <v>0</v>
      </c>
      <c r="H15" s="8">
        <v>0</v>
      </c>
      <c r="I15" s="8">
        <v>0.81</v>
      </c>
      <c r="J15" s="8">
        <v>424.49</v>
      </c>
      <c r="K15" s="8">
        <v>0</v>
      </c>
      <c r="L15" s="8" t="str">
        <f t="shared" si="0"/>
        <v>人民币</v>
      </c>
      <c r="O15" s="8" t="str">
        <f t="shared" si="1"/>
        <v>300100052893</v>
      </c>
    </row>
    <row r="16" spans="1:15">
      <c r="A16" s="8" t="str">
        <f>"20140627"</f>
        <v>20140627</v>
      </c>
      <c r="B16" s="8" t="str">
        <f>"20140627"</f>
        <v>20140627</v>
      </c>
      <c r="C16" s="8" t="str">
        <f>"证券转银行"</f>
        <v>证券转银行</v>
      </c>
      <c r="F16" s="8">
        <v>0</v>
      </c>
      <c r="G16" s="8">
        <v>0</v>
      </c>
      <c r="H16" s="8">
        <v>0</v>
      </c>
      <c r="I16" s="8">
        <v>-300</v>
      </c>
      <c r="J16" s="8">
        <v>124.49</v>
      </c>
      <c r="K16" s="8">
        <v>0</v>
      </c>
      <c r="L16" s="8" t="str">
        <f t="shared" si="0"/>
        <v>人民币</v>
      </c>
      <c r="O16" s="8" t="str">
        <f t="shared" si="1"/>
        <v>300100052893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6"/>
  <sheetViews>
    <sheetView topLeftCell="A97" workbookViewId="0">
      <selection activeCell="A2" sqref="A2:K116"/>
    </sheetView>
  </sheetViews>
  <sheetFormatPr defaultColWidth="9" defaultRowHeight="13.5"/>
  <cols>
    <col min="1" max="16384" width="9" style="8"/>
  </cols>
  <sheetData>
    <row r="1" spans="1:15">
      <c r="A1" s="8" t="str">
        <f>"成交日期"</f>
        <v>成交日期</v>
      </c>
      <c r="B1" s="8" t="str">
        <f>"委托日期"</f>
        <v>委托日期</v>
      </c>
      <c r="C1" s="8" t="str">
        <f>"业务类型"</f>
        <v>业务类型</v>
      </c>
      <c r="D1" s="8" t="str">
        <f>"证券代码"</f>
        <v>证券代码</v>
      </c>
      <c r="E1" s="8" t="str">
        <f>"证券名称"</f>
        <v>证券名称</v>
      </c>
      <c r="F1" s="8" t="str">
        <f>"成交价格"</f>
        <v>成交价格</v>
      </c>
      <c r="G1" s="8" t="str">
        <f>"成交数量"</f>
        <v>成交数量</v>
      </c>
      <c r="H1" s="8" t="str">
        <f>"成交金额"</f>
        <v>成交金额</v>
      </c>
      <c r="I1" s="8" t="str">
        <f>"发生金额"</f>
        <v>发生金额</v>
      </c>
      <c r="J1" s="8" t="str">
        <f>"资金余额"</f>
        <v>资金余额</v>
      </c>
      <c r="K1" s="8" t="str">
        <f>"当前持仓"</f>
        <v>当前持仓</v>
      </c>
      <c r="L1" s="8" t="str">
        <f>"币种"</f>
        <v>币种</v>
      </c>
      <c r="M1" s="8" t="str">
        <f>"协议编号"</f>
        <v>协议编号</v>
      </c>
      <c r="N1" s="8" t="str">
        <f>"股东代码"</f>
        <v>股东代码</v>
      </c>
      <c r="O1" s="8" t="str">
        <f>"产品账号"</f>
        <v>产品账号</v>
      </c>
    </row>
    <row r="2" spans="1:15">
      <c r="A2" s="8" t="str">
        <f>"20140714"</f>
        <v>20140714</v>
      </c>
      <c r="B2" s="8" t="str">
        <f>"20140714"</f>
        <v>20140714</v>
      </c>
      <c r="C2" s="8" t="str">
        <f t="shared" ref="C2:C9" si="0">"证券卖出"</f>
        <v>证券卖出</v>
      </c>
      <c r="D2" s="8" t="str">
        <f>"122535"</f>
        <v>122535</v>
      </c>
      <c r="E2" s="8" t="str">
        <f>"12苏飞达"</f>
        <v>12苏飞达</v>
      </c>
      <c r="F2" s="8">
        <v>102.442</v>
      </c>
      <c r="G2" s="8">
        <v>80</v>
      </c>
      <c r="H2" s="8">
        <v>8195.37</v>
      </c>
      <c r="I2" s="8">
        <v>8193.73</v>
      </c>
      <c r="J2" s="8">
        <v>8318.22</v>
      </c>
      <c r="K2" s="8">
        <v>100</v>
      </c>
      <c r="L2" s="8" t="str">
        <f t="shared" ref="L2:L65" si="1">"人民币"</f>
        <v>人民币</v>
      </c>
      <c r="M2" s="8" t="str">
        <f>"1361002221"</f>
        <v>1361002221</v>
      </c>
      <c r="N2" s="8" t="str">
        <f t="shared" ref="N2:N6" si="2">"A368402599"</f>
        <v>A368402599</v>
      </c>
      <c r="O2" s="8" t="str">
        <f t="shared" ref="O2:O65" si="3">"300100052893"</f>
        <v>300100052893</v>
      </c>
    </row>
    <row r="3" spans="1:15">
      <c r="A3" s="8" t="str">
        <f>"20140714"</f>
        <v>20140714</v>
      </c>
      <c r="B3" s="8" t="str">
        <f>"20140714"</f>
        <v>20140714</v>
      </c>
      <c r="C3" s="8" t="str">
        <f>"证券买入"</f>
        <v>证券买入</v>
      </c>
      <c r="D3" s="8" t="str">
        <f>"601607"</f>
        <v>601607</v>
      </c>
      <c r="E3" s="8" t="str">
        <f>"上海医药"</f>
        <v>上海医药</v>
      </c>
      <c r="F3" s="8">
        <v>12.29</v>
      </c>
      <c r="G3" s="8">
        <v>500</v>
      </c>
      <c r="H3" s="8">
        <v>6145</v>
      </c>
      <c r="I3" s="8">
        <v>-6152.06</v>
      </c>
      <c r="J3" s="8">
        <v>2166.16</v>
      </c>
      <c r="K3" s="8">
        <v>3000</v>
      </c>
      <c r="L3" s="8" t="str">
        <f t="shared" si="1"/>
        <v>人民币</v>
      </c>
      <c r="M3" s="8" t="str">
        <f>"1361002237"</f>
        <v>1361002237</v>
      </c>
      <c r="N3" s="8" t="str">
        <f t="shared" si="2"/>
        <v>A368402599</v>
      </c>
      <c r="O3" s="8" t="str">
        <f t="shared" si="3"/>
        <v>300100052893</v>
      </c>
    </row>
    <row r="4" spans="1:15">
      <c r="A4" s="8" t="str">
        <f>"20140718"</f>
        <v>20140718</v>
      </c>
      <c r="B4" s="8" t="str">
        <f>"20140718"</f>
        <v>20140718</v>
      </c>
      <c r="C4" s="8" t="str">
        <f>"证券买入"</f>
        <v>证券买入</v>
      </c>
      <c r="D4" s="8" t="str">
        <f>"122535"</f>
        <v>122535</v>
      </c>
      <c r="E4" s="8" t="str">
        <f>"12苏飞达"</f>
        <v>12苏飞达</v>
      </c>
      <c r="F4" s="8">
        <v>102.026</v>
      </c>
      <c r="G4" s="8">
        <v>20</v>
      </c>
      <c r="H4" s="8">
        <v>2040.51</v>
      </c>
      <c r="I4" s="8">
        <v>-2041.51</v>
      </c>
      <c r="J4" s="8">
        <v>124.65</v>
      </c>
      <c r="K4" s="8">
        <v>120</v>
      </c>
      <c r="L4" s="8" t="str">
        <f t="shared" si="1"/>
        <v>人民币</v>
      </c>
      <c r="M4" s="8" t="str">
        <f>"1361001083"</f>
        <v>1361001083</v>
      </c>
      <c r="N4" s="8" t="str">
        <f t="shared" si="2"/>
        <v>A368402599</v>
      </c>
      <c r="O4" s="8" t="str">
        <f t="shared" si="3"/>
        <v>300100052893</v>
      </c>
    </row>
    <row r="5" spans="1:15">
      <c r="A5" s="8" t="str">
        <f t="shared" ref="A5:A15" si="4">"20140722"</f>
        <v>20140722</v>
      </c>
      <c r="B5" s="8" t="str">
        <f t="shared" ref="B5:B15" si="5">"20140722"</f>
        <v>20140722</v>
      </c>
      <c r="C5" s="8" t="str">
        <f t="shared" si="0"/>
        <v>证券卖出</v>
      </c>
      <c r="D5" s="8" t="str">
        <f>"600583"</f>
        <v>600583</v>
      </c>
      <c r="E5" s="8" t="str">
        <f>"海油工程"</f>
        <v>海油工程</v>
      </c>
      <c r="F5" s="8">
        <v>7.19</v>
      </c>
      <c r="G5" s="8">
        <v>700</v>
      </c>
      <c r="H5" s="8">
        <v>5033</v>
      </c>
      <c r="I5" s="8">
        <v>5022.01</v>
      </c>
      <c r="J5" s="8">
        <v>5146.66</v>
      </c>
      <c r="K5" s="8">
        <v>0</v>
      </c>
      <c r="L5" s="8" t="str">
        <f t="shared" si="1"/>
        <v>人民币</v>
      </c>
      <c r="M5" s="8" t="str">
        <f>"1361002101"</f>
        <v>1361002101</v>
      </c>
      <c r="N5" s="8" t="str">
        <f t="shared" si="2"/>
        <v>A368402599</v>
      </c>
      <c r="O5" s="8" t="str">
        <f t="shared" si="3"/>
        <v>300100052893</v>
      </c>
    </row>
    <row r="6" spans="1:15">
      <c r="A6" s="8" t="str">
        <f t="shared" si="4"/>
        <v>20140722</v>
      </c>
      <c r="B6" s="8" t="str">
        <f t="shared" si="5"/>
        <v>20140722</v>
      </c>
      <c r="C6" s="8" t="str">
        <f t="shared" si="0"/>
        <v>证券卖出</v>
      </c>
      <c r="D6" s="8" t="str">
        <f>"601607"</f>
        <v>601607</v>
      </c>
      <c r="E6" s="8" t="str">
        <f>"上海医药"</f>
        <v>上海医药</v>
      </c>
      <c r="F6" s="8">
        <v>12.38</v>
      </c>
      <c r="G6" s="8">
        <v>1000</v>
      </c>
      <c r="H6" s="8">
        <v>12380</v>
      </c>
      <c r="I6" s="8">
        <v>12353.4</v>
      </c>
      <c r="J6" s="8">
        <v>17500.06</v>
      </c>
      <c r="K6" s="8">
        <v>2000</v>
      </c>
      <c r="L6" s="8" t="str">
        <f t="shared" si="1"/>
        <v>人民币</v>
      </c>
      <c r="M6" s="8" t="str">
        <f>"1361002104"</f>
        <v>1361002104</v>
      </c>
      <c r="N6" s="8" t="str">
        <f t="shared" si="2"/>
        <v>A368402599</v>
      </c>
      <c r="O6" s="8" t="str">
        <f t="shared" si="3"/>
        <v>300100052893</v>
      </c>
    </row>
    <row r="7" spans="1:15">
      <c r="A7" s="8" t="str">
        <f t="shared" si="4"/>
        <v>20140722</v>
      </c>
      <c r="B7" s="8" t="str">
        <f t="shared" si="5"/>
        <v>20140722</v>
      </c>
      <c r="C7" s="8" t="str">
        <f t="shared" si="0"/>
        <v>证券卖出</v>
      </c>
      <c r="D7" s="8" t="str">
        <f>"000606"</f>
        <v>000606</v>
      </c>
      <c r="E7" s="8" t="str">
        <f>"青海明胶"</f>
        <v>青海明胶</v>
      </c>
      <c r="F7" s="8">
        <v>6.07</v>
      </c>
      <c r="G7" s="8">
        <v>1000</v>
      </c>
      <c r="H7" s="8">
        <v>6070</v>
      </c>
      <c r="I7" s="8">
        <v>6057.25</v>
      </c>
      <c r="J7" s="8">
        <v>23557.31</v>
      </c>
      <c r="K7" s="8">
        <v>1000</v>
      </c>
      <c r="L7" s="8" t="str">
        <f t="shared" si="1"/>
        <v>人民币</v>
      </c>
      <c r="M7" s="8" t="str">
        <f>"T4002409"</f>
        <v>T4002409</v>
      </c>
      <c r="N7" s="8" t="str">
        <f>"0149593788"</f>
        <v>0149593788</v>
      </c>
      <c r="O7" s="8" t="str">
        <f t="shared" si="3"/>
        <v>300100052893</v>
      </c>
    </row>
    <row r="8" spans="1:15">
      <c r="A8" s="8" t="str">
        <f t="shared" si="4"/>
        <v>20140722</v>
      </c>
      <c r="B8" s="8" t="str">
        <f t="shared" si="5"/>
        <v>20140722</v>
      </c>
      <c r="C8" s="8" t="str">
        <f t="shared" si="0"/>
        <v>证券卖出</v>
      </c>
      <c r="D8" s="8" t="str">
        <f>"601398"</f>
        <v>601398</v>
      </c>
      <c r="E8" s="8" t="str">
        <f>"工商银行"</f>
        <v>工商银行</v>
      </c>
      <c r="F8" s="8">
        <v>3.44</v>
      </c>
      <c r="G8" s="8">
        <v>1500</v>
      </c>
      <c r="H8" s="8">
        <v>5160</v>
      </c>
      <c r="I8" s="8">
        <v>5148.26</v>
      </c>
      <c r="J8" s="8">
        <v>28705.57</v>
      </c>
      <c r="K8" s="8">
        <v>0</v>
      </c>
      <c r="L8" s="8" t="str">
        <f t="shared" si="1"/>
        <v>人民币</v>
      </c>
      <c r="M8" s="8" t="str">
        <f>"1361002251"</f>
        <v>1361002251</v>
      </c>
      <c r="N8" s="8" t="str">
        <f t="shared" ref="N8:N11" si="6">"A368402599"</f>
        <v>A368402599</v>
      </c>
      <c r="O8" s="8" t="str">
        <f t="shared" si="3"/>
        <v>300100052893</v>
      </c>
    </row>
    <row r="9" spans="1:15">
      <c r="A9" s="8" t="str">
        <f t="shared" si="4"/>
        <v>20140722</v>
      </c>
      <c r="B9" s="8" t="str">
        <f t="shared" si="5"/>
        <v>20140722</v>
      </c>
      <c r="C9" s="8" t="str">
        <f t="shared" si="0"/>
        <v>证券卖出</v>
      </c>
      <c r="D9" s="8" t="str">
        <f>"122535"</f>
        <v>122535</v>
      </c>
      <c r="E9" s="8" t="str">
        <f>"12苏飞达"</f>
        <v>12苏飞达</v>
      </c>
      <c r="F9" s="8">
        <v>101.529</v>
      </c>
      <c r="G9" s="8">
        <v>120</v>
      </c>
      <c r="H9" s="8">
        <v>12183.45</v>
      </c>
      <c r="I9" s="8">
        <v>12181.01</v>
      </c>
      <c r="J9" s="8">
        <v>40886.58</v>
      </c>
      <c r="K9" s="8">
        <v>0</v>
      </c>
      <c r="L9" s="8" t="str">
        <f t="shared" si="1"/>
        <v>人民币</v>
      </c>
      <c r="M9" s="8" t="str">
        <f>"1361002325"</f>
        <v>1361002325</v>
      </c>
      <c r="N9" s="8" t="str">
        <f t="shared" si="6"/>
        <v>A368402599</v>
      </c>
      <c r="O9" s="8" t="str">
        <f t="shared" si="3"/>
        <v>300100052893</v>
      </c>
    </row>
    <row r="10" spans="1:15">
      <c r="A10" s="8" t="str">
        <f t="shared" si="4"/>
        <v>20140722</v>
      </c>
      <c r="B10" s="8" t="str">
        <f t="shared" si="5"/>
        <v>20140722</v>
      </c>
      <c r="C10" s="8" t="str">
        <f t="shared" ref="C10:C15" si="7">"证券买入"</f>
        <v>证券买入</v>
      </c>
      <c r="D10" s="8" t="str">
        <f t="shared" ref="D10:D14" si="8">"600066"</f>
        <v>600066</v>
      </c>
      <c r="E10" s="8" t="str">
        <f t="shared" ref="E10:E14" si="9">"宇通客车"</f>
        <v>宇通客车</v>
      </c>
      <c r="F10" s="8">
        <v>17.99</v>
      </c>
      <c r="G10" s="8">
        <v>1900</v>
      </c>
      <c r="H10" s="8">
        <v>34181</v>
      </c>
      <c r="I10" s="8">
        <v>-34219.74</v>
      </c>
      <c r="J10" s="8">
        <v>6666.84</v>
      </c>
      <c r="K10" s="8">
        <v>1900</v>
      </c>
      <c r="L10" s="8" t="str">
        <f t="shared" si="1"/>
        <v>人民币</v>
      </c>
      <c r="M10" s="8" t="str">
        <f>"1361002434"</f>
        <v>1361002434</v>
      </c>
      <c r="N10" s="8" t="str">
        <f t="shared" si="6"/>
        <v>A368402599</v>
      </c>
      <c r="O10" s="8" t="str">
        <f t="shared" si="3"/>
        <v>300100052893</v>
      </c>
    </row>
    <row r="11" spans="1:15">
      <c r="A11" s="8" t="str">
        <f t="shared" si="4"/>
        <v>20140722</v>
      </c>
      <c r="B11" s="8" t="str">
        <f t="shared" si="5"/>
        <v>20140722</v>
      </c>
      <c r="C11" s="8" t="str">
        <f t="shared" si="7"/>
        <v>证券买入</v>
      </c>
      <c r="D11" s="8" t="str">
        <f t="shared" si="8"/>
        <v>600066</v>
      </c>
      <c r="E11" s="8" t="str">
        <f t="shared" si="9"/>
        <v>宇通客车</v>
      </c>
      <c r="F11" s="8">
        <v>17.97</v>
      </c>
      <c r="G11" s="8">
        <v>300</v>
      </c>
      <c r="H11" s="8">
        <v>5391</v>
      </c>
      <c r="I11" s="8">
        <v>-5397.11</v>
      </c>
      <c r="J11" s="8">
        <v>1269.73</v>
      </c>
      <c r="K11" s="8">
        <v>2200</v>
      </c>
      <c r="L11" s="8" t="str">
        <f t="shared" si="1"/>
        <v>人民币</v>
      </c>
      <c r="M11" s="8" t="str">
        <f>"1361002809"</f>
        <v>1361002809</v>
      </c>
      <c r="N11" s="8" t="str">
        <f t="shared" si="6"/>
        <v>A368402599</v>
      </c>
      <c r="O11" s="8" t="str">
        <f t="shared" si="3"/>
        <v>300100052893</v>
      </c>
    </row>
    <row r="12" spans="1:15">
      <c r="A12" s="8" t="str">
        <f t="shared" si="4"/>
        <v>20140722</v>
      </c>
      <c r="B12" s="8" t="str">
        <f t="shared" si="5"/>
        <v>20140722</v>
      </c>
      <c r="C12" s="8" t="str">
        <f>"证券卖出"</f>
        <v>证券卖出</v>
      </c>
      <c r="D12" s="8" t="str">
        <f>"000606"</f>
        <v>000606</v>
      </c>
      <c r="E12" s="8" t="str">
        <f>"青海明胶"</f>
        <v>青海明胶</v>
      </c>
      <c r="F12" s="8">
        <v>6.07</v>
      </c>
      <c r="G12" s="8">
        <v>900</v>
      </c>
      <c r="H12" s="8">
        <v>5463</v>
      </c>
      <c r="I12" s="8">
        <v>5451.53</v>
      </c>
      <c r="J12" s="8">
        <v>6721.26</v>
      </c>
      <c r="K12" s="8">
        <v>100</v>
      </c>
      <c r="L12" s="8" t="str">
        <f t="shared" si="1"/>
        <v>人民币</v>
      </c>
      <c r="M12" s="8" t="str">
        <f>"T4003837"</f>
        <v>T4003837</v>
      </c>
      <c r="N12" s="8" t="str">
        <f>"0149593788"</f>
        <v>0149593788</v>
      </c>
      <c r="O12" s="8" t="str">
        <f t="shared" si="3"/>
        <v>300100052893</v>
      </c>
    </row>
    <row r="13" spans="1:15">
      <c r="A13" s="8" t="str">
        <f t="shared" si="4"/>
        <v>20140722</v>
      </c>
      <c r="B13" s="8" t="str">
        <f t="shared" si="5"/>
        <v>20140722</v>
      </c>
      <c r="C13" s="8" t="str">
        <f>"证券卖出"</f>
        <v>证券卖出</v>
      </c>
      <c r="D13" s="8" t="str">
        <f>"601607"</f>
        <v>601607</v>
      </c>
      <c r="E13" s="8" t="str">
        <f>"上海医药"</f>
        <v>上海医药</v>
      </c>
      <c r="F13" s="8">
        <v>12.39</v>
      </c>
      <c r="G13" s="8">
        <v>1900</v>
      </c>
      <c r="H13" s="8">
        <v>23541</v>
      </c>
      <c r="I13" s="8">
        <v>23490.42</v>
      </c>
      <c r="J13" s="8">
        <v>30211.68</v>
      </c>
      <c r="K13" s="8">
        <v>100</v>
      </c>
      <c r="L13" s="8" t="str">
        <f t="shared" si="1"/>
        <v>人民币</v>
      </c>
      <c r="M13" s="8" t="str">
        <f>"1361003371"</f>
        <v>1361003371</v>
      </c>
      <c r="N13" s="8" t="str">
        <f t="shared" ref="N13:N15" si="10">"A368402599"</f>
        <v>A368402599</v>
      </c>
      <c r="O13" s="8" t="str">
        <f t="shared" si="3"/>
        <v>300100052893</v>
      </c>
    </row>
    <row r="14" spans="1:15">
      <c r="A14" s="8" t="str">
        <f t="shared" si="4"/>
        <v>20140722</v>
      </c>
      <c r="B14" s="8" t="str">
        <f t="shared" si="5"/>
        <v>20140722</v>
      </c>
      <c r="C14" s="8" t="str">
        <f t="shared" si="7"/>
        <v>证券买入</v>
      </c>
      <c r="D14" s="8" t="str">
        <f t="shared" si="8"/>
        <v>600066</v>
      </c>
      <c r="E14" s="8" t="str">
        <f t="shared" si="9"/>
        <v>宇通客车</v>
      </c>
      <c r="F14" s="8">
        <v>17.89</v>
      </c>
      <c r="G14" s="8">
        <v>1600</v>
      </c>
      <c r="H14" s="8">
        <v>28624</v>
      </c>
      <c r="I14" s="8">
        <v>-28656.45</v>
      </c>
      <c r="J14" s="8">
        <v>1555.23</v>
      </c>
      <c r="K14" s="8">
        <v>3800</v>
      </c>
      <c r="L14" s="8" t="str">
        <f t="shared" si="1"/>
        <v>人民币</v>
      </c>
      <c r="M14" s="8" t="str">
        <f>"1361003424"</f>
        <v>1361003424</v>
      </c>
      <c r="N14" s="8" t="str">
        <f t="shared" si="10"/>
        <v>A368402599</v>
      </c>
      <c r="O14" s="8" t="str">
        <f t="shared" si="3"/>
        <v>300100052893</v>
      </c>
    </row>
    <row r="15" spans="1:15">
      <c r="A15" s="8" t="str">
        <f t="shared" si="4"/>
        <v>20140722</v>
      </c>
      <c r="B15" s="8" t="str">
        <f t="shared" si="5"/>
        <v>20140722</v>
      </c>
      <c r="C15" s="8" t="str">
        <f t="shared" si="7"/>
        <v>证券买入</v>
      </c>
      <c r="D15" s="8" t="str">
        <f t="shared" ref="D15:D23" si="11">"601607"</f>
        <v>601607</v>
      </c>
      <c r="E15" s="8" t="str">
        <f t="shared" ref="E15:E23" si="12">"上海医药"</f>
        <v>上海医药</v>
      </c>
      <c r="F15" s="8">
        <v>12.39</v>
      </c>
      <c r="G15" s="8">
        <v>100</v>
      </c>
      <c r="H15" s="8">
        <v>1239</v>
      </c>
      <c r="I15" s="8">
        <v>-1244.06</v>
      </c>
      <c r="J15" s="8">
        <v>311.17</v>
      </c>
      <c r="K15" s="8">
        <v>200</v>
      </c>
      <c r="L15" s="8" t="str">
        <f t="shared" si="1"/>
        <v>人民币</v>
      </c>
      <c r="M15" s="8" t="str">
        <f>"1361003455"</f>
        <v>1361003455</v>
      </c>
      <c r="N15" s="8" t="str">
        <f t="shared" si="10"/>
        <v>A368402599</v>
      </c>
      <c r="O15" s="8" t="str">
        <f t="shared" si="3"/>
        <v>300100052893</v>
      </c>
    </row>
    <row r="16" spans="1:15">
      <c r="A16" s="8" t="str">
        <f t="shared" ref="A16:A23" si="13">"20140723"</f>
        <v>20140723</v>
      </c>
      <c r="B16" s="8" t="str">
        <f t="shared" ref="B16:B23" si="14">"0"</f>
        <v>0</v>
      </c>
      <c r="C16" s="8" t="str">
        <f t="shared" ref="C16:C23" si="15">"股息红利差异扣税"</f>
        <v>股息红利差异扣税</v>
      </c>
      <c r="D16" s="8" t="str">
        <f>"000606"</f>
        <v>000606</v>
      </c>
      <c r="E16" s="8" t="str">
        <f>"青海明胶"</f>
        <v>青海明胶</v>
      </c>
      <c r="F16" s="8">
        <v>0</v>
      </c>
      <c r="G16" s="8">
        <v>0</v>
      </c>
      <c r="H16" s="8">
        <v>0</v>
      </c>
      <c r="I16" s="8">
        <v>-1.9</v>
      </c>
      <c r="J16" s="8">
        <v>309.27</v>
      </c>
      <c r="K16" s="8">
        <v>0</v>
      </c>
      <c r="L16" s="8" t="str">
        <f t="shared" si="1"/>
        <v>人民币</v>
      </c>
      <c r="N16" s="8" t="str">
        <f>"0149593788"</f>
        <v>0149593788</v>
      </c>
      <c r="O16" s="8" t="str">
        <f t="shared" si="3"/>
        <v>300100052893</v>
      </c>
    </row>
    <row r="17" spans="1:15">
      <c r="A17" s="8" t="str">
        <f t="shared" si="13"/>
        <v>20140723</v>
      </c>
      <c r="B17" s="8" t="str">
        <f t="shared" si="14"/>
        <v>0</v>
      </c>
      <c r="C17" s="8" t="str">
        <f t="shared" si="15"/>
        <v>股息红利差异扣税</v>
      </c>
      <c r="D17" s="8" t="str">
        <f>"600583"</f>
        <v>600583</v>
      </c>
      <c r="E17" s="8" t="str">
        <f>"海油工程"</f>
        <v>海油工程</v>
      </c>
      <c r="F17" s="8">
        <v>0</v>
      </c>
      <c r="G17" s="8">
        <v>0</v>
      </c>
      <c r="H17" s="8">
        <v>0</v>
      </c>
      <c r="I17" s="8">
        <v>-3.5</v>
      </c>
      <c r="J17" s="8">
        <v>305.77</v>
      </c>
      <c r="K17" s="8">
        <v>0</v>
      </c>
      <c r="L17" s="8" t="str">
        <f t="shared" si="1"/>
        <v>人民币</v>
      </c>
      <c r="N17" s="8" t="str">
        <f t="shared" ref="N17:N29" si="16">"A368402599"</f>
        <v>A368402599</v>
      </c>
      <c r="O17" s="8" t="str">
        <f t="shared" si="3"/>
        <v>300100052893</v>
      </c>
    </row>
    <row r="18" spans="1:15">
      <c r="A18" s="8" t="str">
        <f t="shared" si="13"/>
        <v>20140723</v>
      </c>
      <c r="B18" s="8" t="str">
        <f t="shared" si="14"/>
        <v>0</v>
      </c>
      <c r="C18" s="8" t="str">
        <f t="shared" si="15"/>
        <v>股息红利差异扣税</v>
      </c>
      <c r="D18" s="8" t="str">
        <f>"601398"</f>
        <v>601398</v>
      </c>
      <c r="E18" s="8" t="str">
        <f>"工商银行"</f>
        <v>工商银行</v>
      </c>
      <c r="F18" s="8">
        <v>0</v>
      </c>
      <c r="G18" s="8">
        <v>0</v>
      </c>
      <c r="H18" s="8">
        <v>0</v>
      </c>
      <c r="I18" s="8">
        <v>-19.63</v>
      </c>
      <c r="J18" s="8">
        <v>286.14</v>
      </c>
      <c r="K18" s="8">
        <v>0</v>
      </c>
      <c r="L18" s="8" t="str">
        <f t="shared" si="1"/>
        <v>人民币</v>
      </c>
      <c r="N18" s="8" t="str">
        <f t="shared" si="16"/>
        <v>A368402599</v>
      </c>
      <c r="O18" s="8" t="str">
        <f t="shared" si="3"/>
        <v>300100052893</v>
      </c>
    </row>
    <row r="19" spans="1:15">
      <c r="A19" s="8" t="str">
        <f t="shared" si="13"/>
        <v>20140723</v>
      </c>
      <c r="B19" s="8" t="str">
        <f t="shared" si="14"/>
        <v>0</v>
      </c>
      <c r="C19" s="8" t="str">
        <f t="shared" si="15"/>
        <v>股息红利差异扣税</v>
      </c>
      <c r="D19" s="8" t="str">
        <f t="shared" si="11"/>
        <v>601607</v>
      </c>
      <c r="E19" s="8" t="str">
        <f t="shared" si="12"/>
        <v>上海医药</v>
      </c>
      <c r="F19" s="8">
        <v>0</v>
      </c>
      <c r="G19" s="8">
        <v>0</v>
      </c>
      <c r="H19" s="8">
        <v>0</v>
      </c>
      <c r="I19" s="8">
        <v>-2.6</v>
      </c>
      <c r="J19" s="8">
        <v>283.54</v>
      </c>
      <c r="K19" s="8">
        <v>0</v>
      </c>
      <c r="L19" s="8" t="str">
        <f t="shared" si="1"/>
        <v>人民币</v>
      </c>
      <c r="N19" s="8" t="str">
        <f t="shared" si="16"/>
        <v>A368402599</v>
      </c>
      <c r="O19" s="8" t="str">
        <f t="shared" si="3"/>
        <v>300100052893</v>
      </c>
    </row>
    <row r="20" spans="1:15">
      <c r="A20" s="8" t="str">
        <f t="shared" si="13"/>
        <v>20140723</v>
      </c>
      <c r="B20" s="8" t="str">
        <f t="shared" si="14"/>
        <v>0</v>
      </c>
      <c r="C20" s="8" t="str">
        <f t="shared" si="15"/>
        <v>股息红利差异扣税</v>
      </c>
      <c r="D20" s="8" t="str">
        <f t="shared" si="11"/>
        <v>601607</v>
      </c>
      <c r="E20" s="8" t="str">
        <f t="shared" si="12"/>
        <v>上海医药</v>
      </c>
      <c r="F20" s="8">
        <v>0</v>
      </c>
      <c r="G20" s="8">
        <v>0</v>
      </c>
      <c r="H20" s="8">
        <v>0</v>
      </c>
      <c r="I20" s="8">
        <v>-3.9</v>
      </c>
      <c r="J20" s="8">
        <v>279.64</v>
      </c>
      <c r="K20" s="8">
        <v>0</v>
      </c>
      <c r="L20" s="8" t="str">
        <f t="shared" si="1"/>
        <v>人民币</v>
      </c>
      <c r="N20" s="8" t="str">
        <f t="shared" si="16"/>
        <v>A368402599</v>
      </c>
      <c r="O20" s="8" t="str">
        <f t="shared" si="3"/>
        <v>300100052893</v>
      </c>
    </row>
    <row r="21" spans="1:15">
      <c r="A21" s="8" t="str">
        <f t="shared" si="13"/>
        <v>20140723</v>
      </c>
      <c r="B21" s="8" t="str">
        <f t="shared" si="14"/>
        <v>0</v>
      </c>
      <c r="C21" s="8" t="str">
        <f t="shared" si="15"/>
        <v>股息红利差异扣税</v>
      </c>
      <c r="D21" s="8" t="str">
        <f t="shared" si="11"/>
        <v>601607</v>
      </c>
      <c r="E21" s="8" t="str">
        <f t="shared" si="12"/>
        <v>上海医药</v>
      </c>
      <c r="F21" s="8">
        <v>0</v>
      </c>
      <c r="G21" s="8">
        <v>0</v>
      </c>
      <c r="H21" s="8">
        <v>0</v>
      </c>
      <c r="I21" s="8">
        <v>-6.5</v>
      </c>
      <c r="J21" s="8">
        <v>273.14</v>
      </c>
      <c r="K21" s="8">
        <v>0</v>
      </c>
      <c r="L21" s="8" t="str">
        <f t="shared" si="1"/>
        <v>人民币</v>
      </c>
      <c r="N21" s="8" t="str">
        <f t="shared" si="16"/>
        <v>A368402599</v>
      </c>
      <c r="O21" s="8" t="str">
        <f t="shared" si="3"/>
        <v>300100052893</v>
      </c>
    </row>
    <row r="22" spans="1:15">
      <c r="A22" s="8" t="str">
        <f t="shared" si="13"/>
        <v>20140723</v>
      </c>
      <c r="B22" s="8" t="str">
        <f t="shared" si="14"/>
        <v>0</v>
      </c>
      <c r="C22" s="8" t="str">
        <f t="shared" si="15"/>
        <v>股息红利差异扣税</v>
      </c>
      <c r="D22" s="8" t="str">
        <f t="shared" si="11"/>
        <v>601607</v>
      </c>
      <c r="E22" s="8" t="str">
        <f t="shared" si="12"/>
        <v>上海医药</v>
      </c>
      <c r="F22" s="8">
        <v>0</v>
      </c>
      <c r="G22" s="8">
        <v>0</v>
      </c>
      <c r="H22" s="8">
        <v>0</v>
      </c>
      <c r="I22" s="8">
        <v>-13</v>
      </c>
      <c r="J22" s="8">
        <v>260.14</v>
      </c>
      <c r="K22" s="8">
        <v>0</v>
      </c>
      <c r="L22" s="8" t="str">
        <f t="shared" si="1"/>
        <v>人民币</v>
      </c>
      <c r="N22" s="8" t="str">
        <f t="shared" si="16"/>
        <v>A368402599</v>
      </c>
      <c r="O22" s="8" t="str">
        <f t="shared" si="3"/>
        <v>300100052893</v>
      </c>
    </row>
    <row r="23" spans="1:15">
      <c r="A23" s="8" t="str">
        <f t="shared" si="13"/>
        <v>20140723</v>
      </c>
      <c r="B23" s="8" t="str">
        <f t="shared" si="14"/>
        <v>0</v>
      </c>
      <c r="C23" s="8" t="str">
        <f t="shared" si="15"/>
        <v>股息红利差异扣税</v>
      </c>
      <c r="D23" s="8" t="str">
        <f t="shared" si="11"/>
        <v>601607</v>
      </c>
      <c r="E23" s="8" t="str">
        <f t="shared" si="12"/>
        <v>上海医药</v>
      </c>
      <c r="F23" s="8">
        <v>0</v>
      </c>
      <c r="G23" s="8">
        <v>0</v>
      </c>
      <c r="H23" s="8">
        <v>0</v>
      </c>
      <c r="I23" s="8">
        <v>-6.5</v>
      </c>
      <c r="J23" s="8">
        <v>253.64</v>
      </c>
      <c r="K23" s="8">
        <v>0</v>
      </c>
      <c r="L23" s="8" t="str">
        <f t="shared" si="1"/>
        <v>人民币</v>
      </c>
      <c r="N23" s="8" t="str">
        <f t="shared" si="16"/>
        <v>A368402599</v>
      </c>
      <c r="O23" s="8" t="str">
        <f t="shared" si="3"/>
        <v>300100052893</v>
      </c>
    </row>
    <row r="24" spans="1:15">
      <c r="A24" s="8" t="str">
        <f t="shared" ref="A24:A33" si="17">"20140724"</f>
        <v>20140724</v>
      </c>
      <c r="B24" s="8" t="str">
        <f t="shared" ref="B24:B33" si="18">"20140724"</f>
        <v>20140724</v>
      </c>
      <c r="C24" s="8" t="str">
        <f t="shared" ref="C24:C27" si="19">"证券卖出"</f>
        <v>证券卖出</v>
      </c>
      <c r="D24" s="8" t="str">
        <f t="shared" ref="D24:D27" si="20">"600066"</f>
        <v>600066</v>
      </c>
      <c r="E24" s="8" t="str">
        <f t="shared" ref="E24:E27" si="21">"宇通客车"</f>
        <v>宇通客车</v>
      </c>
      <c r="F24" s="8">
        <v>18.25</v>
      </c>
      <c r="G24" s="8">
        <v>800</v>
      </c>
      <c r="H24" s="8">
        <v>14600</v>
      </c>
      <c r="I24" s="8">
        <v>14568.85</v>
      </c>
      <c r="J24" s="8">
        <v>14822.49</v>
      </c>
      <c r="K24" s="8">
        <v>3000</v>
      </c>
      <c r="L24" s="8" t="str">
        <f t="shared" si="1"/>
        <v>人民币</v>
      </c>
      <c r="M24" s="8" t="str">
        <f>"1361000707"</f>
        <v>1361000707</v>
      </c>
      <c r="N24" s="8" t="str">
        <f t="shared" si="16"/>
        <v>A368402599</v>
      </c>
      <c r="O24" s="8" t="str">
        <f t="shared" si="3"/>
        <v>300100052893</v>
      </c>
    </row>
    <row r="25" spans="1:15">
      <c r="A25" s="8" t="str">
        <f t="shared" si="17"/>
        <v>20140724</v>
      </c>
      <c r="B25" s="8" t="str">
        <f t="shared" si="18"/>
        <v>20140724</v>
      </c>
      <c r="C25" s="8" t="str">
        <f t="shared" ref="C25:C30" si="22">"证券买入"</f>
        <v>证券买入</v>
      </c>
      <c r="D25" s="8" t="str">
        <f>"601607"</f>
        <v>601607</v>
      </c>
      <c r="E25" s="8" t="str">
        <f>"上海医药"</f>
        <v>上海医药</v>
      </c>
      <c r="F25" s="8">
        <v>12.35</v>
      </c>
      <c r="G25" s="8">
        <v>1100</v>
      </c>
      <c r="H25" s="8">
        <v>13585</v>
      </c>
      <c r="I25" s="8">
        <v>-13600.6</v>
      </c>
      <c r="J25" s="8">
        <v>1221.89</v>
      </c>
      <c r="K25" s="8">
        <v>1300</v>
      </c>
      <c r="L25" s="8" t="str">
        <f t="shared" si="1"/>
        <v>人民币</v>
      </c>
      <c r="M25" s="8" t="str">
        <f>"1361000758"</f>
        <v>1361000758</v>
      </c>
      <c r="N25" s="8" t="str">
        <f t="shared" si="16"/>
        <v>A368402599</v>
      </c>
      <c r="O25" s="8" t="str">
        <f t="shared" si="3"/>
        <v>300100052893</v>
      </c>
    </row>
    <row r="26" spans="1:15">
      <c r="A26" s="8" t="str">
        <f t="shared" si="17"/>
        <v>20140724</v>
      </c>
      <c r="B26" s="8" t="str">
        <f t="shared" si="18"/>
        <v>20140724</v>
      </c>
      <c r="C26" s="8" t="str">
        <f t="shared" si="19"/>
        <v>证券卖出</v>
      </c>
      <c r="D26" s="8" t="str">
        <f t="shared" si="20"/>
        <v>600066</v>
      </c>
      <c r="E26" s="8" t="str">
        <f t="shared" si="21"/>
        <v>宇通客车</v>
      </c>
      <c r="F26" s="8">
        <v>18.17</v>
      </c>
      <c r="G26" s="8">
        <v>1000</v>
      </c>
      <c r="H26" s="8">
        <v>18170</v>
      </c>
      <c r="I26" s="8">
        <v>18131.24</v>
      </c>
      <c r="J26" s="8">
        <v>19353.13</v>
      </c>
      <c r="K26" s="8">
        <v>2000</v>
      </c>
      <c r="L26" s="8" t="str">
        <f t="shared" si="1"/>
        <v>人民币</v>
      </c>
      <c r="M26" s="8" t="str">
        <f>"1361001918"</f>
        <v>1361001918</v>
      </c>
      <c r="N26" s="8" t="str">
        <f t="shared" si="16"/>
        <v>A368402599</v>
      </c>
      <c r="O26" s="8" t="str">
        <f t="shared" si="3"/>
        <v>300100052893</v>
      </c>
    </row>
    <row r="27" spans="1:15">
      <c r="A27" s="8" t="str">
        <f t="shared" si="17"/>
        <v>20140724</v>
      </c>
      <c r="B27" s="8" t="str">
        <f t="shared" si="18"/>
        <v>20140724</v>
      </c>
      <c r="C27" s="8" t="str">
        <f t="shared" si="19"/>
        <v>证券卖出</v>
      </c>
      <c r="D27" s="8" t="str">
        <f t="shared" si="20"/>
        <v>600066</v>
      </c>
      <c r="E27" s="8" t="str">
        <f t="shared" si="21"/>
        <v>宇通客车</v>
      </c>
      <c r="F27" s="8">
        <v>18.18</v>
      </c>
      <c r="G27" s="8">
        <v>1000</v>
      </c>
      <c r="H27" s="8">
        <v>18180</v>
      </c>
      <c r="I27" s="8">
        <v>18141.22</v>
      </c>
      <c r="J27" s="8">
        <v>37494.35</v>
      </c>
      <c r="K27" s="8">
        <v>1000</v>
      </c>
      <c r="L27" s="8" t="str">
        <f t="shared" si="1"/>
        <v>人民币</v>
      </c>
      <c r="M27" s="8" t="str">
        <f>"1361001940"</f>
        <v>1361001940</v>
      </c>
      <c r="N27" s="8" t="str">
        <f t="shared" si="16"/>
        <v>A368402599</v>
      </c>
      <c r="O27" s="8" t="str">
        <f t="shared" si="3"/>
        <v>300100052893</v>
      </c>
    </row>
    <row r="28" spans="1:15">
      <c r="A28" s="8" t="str">
        <f t="shared" si="17"/>
        <v>20140724</v>
      </c>
      <c r="B28" s="8" t="str">
        <f t="shared" si="18"/>
        <v>20140724</v>
      </c>
      <c r="C28" s="8" t="str">
        <f t="shared" si="22"/>
        <v>证券买入</v>
      </c>
      <c r="D28" s="8" t="str">
        <f>"601607"</f>
        <v>601607</v>
      </c>
      <c r="E28" s="8" t="str">
        <f>"上海医药"</f>
        <v>上海医药</v>
      </c>
      <c r="F28" s="8">
        <v>12.27</v>
      </c>
      <c r="G28" s="8">
        <v>1700</v>
      </c>
      <c r="H28" s="8">
        <v>20859</v>
      </c>
      <c r="I28" s="8">
        <v>-20882.96</v>
      </c>
      <c r="J28" s="8">
        <v>16611.39</v>
      </c>
      <c r="K28" s="8">
        <v>3000</v>
      </c>
      <c r="L28" s="8" t="str">
        <f t="shared" si="1"/>
        <v>人民币</v>
      </c>
      <c r="M28" s="8" t="str">
        <f>"1361001946"</f>
        <v>1361001946</v>
      </c>
      <c r="N28" s="8" t="str">
        <f t="shared" si="16"/>
        <v>A368402599</v>
      </c>
      <c r="O28" s="8" t="str">
        <f t="shared" si="3"/>
        <v>300100052893</v>
      </c>
    </row>
    <row r="29" spans="1:15">
      <c r="A29" s="8" t="str">
        <f t="shared" si="17"/>
        <v>20140724</v>
      </c>
      <c r="B29" s="8" t="str">
        <f t="shared" si="18"/>
        <v>20140724</v>
      </c>
      <c r="C29" s="8" t="str">
        <f t="shared" ref="C29:C34" si="23">"证券卖出"</f>
        <v>证券卖出</v>
      </c>
      <c r="D29" s="8" t="str">
        <f>"600066"</f>
        <v>600066</v>
      </c>
      <c r="E29" s="8" t="str">
        <f>"宇通客车"</f>
        <v>宇通客车</v>
      </c>
      <c r="F29" s="8">
        <v>18.16</v>
      </c>
      <c r="G29" s="8">
        <v>1000</v>
      </c>
      <c r="H29" s="8">
        <v>18160</v>
      </c>
      <c r="I29" s="8">
        <v>18121.26</v>
      </c>
      <c r="J29" s="8">
        <v>34732.65</v>
      </c>
      <c r="K29" s="8">
        <v>0</v>
      </c>
      <c r="L29" s="8" t="str">
        <f t="shared" si="1"/>
        <v>人民币</v>
      </c>
      <c r="M29" s="8" t="str">
        <f>"1361001992"</f>
        <v>1361001992</v>
      </c>
      <c r="N29" s="8" t="str">
        <f t="shared" si="16"/>
        <v>A368402599</v>
      </c>
      <c r="O29" s="8" t="str">
        <f t="shared" si="3"/>
        <v>300100052893</v>
      </c>
    </row>
    <row r="30" spans="1:15">
      <c r="A30" s="8" t="str">
        <f t="shared" si="17"/>
        <v>20140724</v>
      </c>
      <c r="B30" s="8" t="str">
        <f t="shared" si="18"/>
        <v>20140724</v>
      </c>
      <c r="C30" s="8" t="str">
        <f t="shared" si="22"/>
        <v>证券买入</v>
      </c>
      <c r="D30" s="8" t="str">
        <f>"000606"</f>
        <v>000606</v>
      </c>
      <c r="E30" s="8" t="str">
        <f>"青海明胶"</f>
        <v>青海明胶</v>
      </c>
      <c r="F30" s="8">
        <v>5.89</v>
      </c>
      <c r="G30" s="8">
        <v>2000</v>
      </c>
      <c r="H30" s="8">
        <v>11780</v>
      </c>
      <c r="I30" s="8">
        <v>-11792.96</v>
      </c>
      <c r="J30" s="8">
        <v>22939.69</v>
      </c>
      <c r="K30" s="8">
        <v>2100</v>
      </c>
      <c r="L30" s="8" t="str">
        <f t="shared" si="1"/>
        <v>人民币</v>
      </c>
      <c r="M30" s="8" t="str">
        <f>"T4002557"</f>
        <v>T4002557</v>
      </c>
      <c r="N30" s="8" t="str">
        <f>"0149593788"</f>
        <v>0149593788</v>
      </c>
      <c r="O30" s="8" t="str">
        <f t="shared" si="3"/>
        <v>300100052893</v>
      </c>
    </row>
    <row r="31" spans="1:15">
      <c r="A31" s="8" t="str">
        <f t="shared" si="17"/>
        <v>20140724</v>
      </c>
      <c r="B31" s="8" t="str">
        <f t="shared" si="18"/>
        <v>20140724</v>
      </c>
      <c r="C31" s="8" t="str">
        <f t="shared" si="23"/>
        <v>证券卖出</v>
      </c>
      <c r="D31" s="8" t="str">
        <f>"000606"</f>
        <v>000606</v>
      </c>
      <c r="E31" s="8" t="str">
        <f>"青海明胶"</f>
        <v>青海明胶</v>
      </c>
      <c r="F31" s="8">
        <v>5.88</v>
      </c>
      <c r="G31" s="8">
        <v>100</v>
      </c>
      <c r="H31" s="8">
        <v>588</v>
      </c>
      <c r="I31" s="8">
        <v>582.41</v>
      </c>
      <c r="J31" s="8">
        <v>23522.1</v>
      </c>
      <c r="K31" s="8">
        <v>2000</v>
      </c>
      <c r="L31" s="8" t="str">
        <f t="shared" si="1"/>
        <v>人民币</v>
      </c>
      <c r="M31" s="8" t="str">
        <f>"T4002560"</f>
        <v>T4002560</v>
      </c>
      <c r="N31" s="8" t="str">
        <f>"0149593788"</f>
        <v>0149593788</v>
      </c>
      <c r="O31" s="8" t="str">
        <f t="shared" si="3"/>
        <v>300100052893</v>
      </c>
    </row>
    <row r="32" spans="1:15">
      <c r="A32" s="8" t="str">
        <f t="shared" si="17"/>
        <v>20140724</v>
      </c>
      <c r="B32" s="8" t="str">
        <f t="shared" si="18"/>
        <v>20140724</v>
      </c>
      <c r="C32" s="8" t="str">
        <f t="shared" ref="C32:C37" si="24">"证券买入"</f>
        <v>证券买入</v>
      </c>
      <c r="D32" s="8" t="str">
        <f>"511990"</f>
        <v>511990</v>
      </c>
      <c r="E32" s="8" t="str">
        <f>"华宝添益"</f>
        <v>华宝添益</v>
      </c>
      <c r="F32" s="8">
        <v>99.967</v>
      </c>
      <c r="G32" s="8">
        <v>200</v>
      </c>
      <c r="H32" s="8">
        <v>19993.4</v>
      </c>
      <c r="I32" s="8">
        <v>-19993.4</v>
      </c>
      <c r="J32" s="8">
        <v>3528.7</v>
      </c>
      <c r="K32" s="8">
        <v>200</v>
      </c>
      <c r="L32" s="8" t="str">
        <f t="shared" si="1"/>
        <v>人民币</v>
      </c>
      <c r="M32" s="8" t="str">
        <f>"1361002143"</f>
        <v>1361002143</v>
      </c>
      <c r="N32" s="8" t="str">
        <f t="shared" ref="N32:N43" si="25">"A368402599"</f>
        <v>A368402599</v>
      </c>
      <c r="O32" s="8" t="str">
        <f t="shared" si="3"/>
        <v>300100052893</v>
      </c>
    </row>
    <row r="33" spans="1:15">
      <c r="A33" s="8" t="str">
        <f t="shared" si="17"/>
        <v>20140724</v>
      </c>
      <c r="B33" s="8" t="str">
        <f t="shared" si="18"/>
        <v>20140724</v>
      </c>
      <c r="C33" s="8" t="str">
        <f t="shared" si="24"/>
        <v>证券买入</v>
      </c>
      <c r="D33" s="8" t="str">
        <f>"122535"</f>
        <v>122535</v>
      </c>
      <c r="E33" s="8" t="str">
        <f>"12苏飞达"</f>
        <v>12苏飞达</v>
      </c>
      <c r="F33" s="8">
        <v>101.9</v>
      </c>
      <c r="G33" s="8">
        <v>30</v>
      </c>
      <c r="H33" s="8">
        <v>3057.01</v>
      </c>
      <c r="I33" s="8">
        <v>-3058.01</v>
      </c>
      <c r="J33" s="8">
        <v>470.69</v>
      </c>
      <c r="K33" s="8">
        <v>30</v>
      </c>
      <c r="L33" s="8" t="str">
        <f t="shared" si="1"/>
        <v>人民币</v>
      </c>
      <c r="M33" s="8" t="str">
        <f>"1361003584"</f>
        <v>1361003584</v>
      </c>
      <c r="N33" s="8" t="str">
        <f t="shared" si="25"/>
        <v>A368402599</v>
      </c>
      <c r="O33" s="8" t="str">
        <f t="shared" si="3"/>
        <v>300100052893</v>
      </c>
    </row>
    <row r="34" spans="1:15">
      <c r="A34" s="8" t="str">
        <f t="shared" ref="A34:A37" si="26">"20140725"</f>
        <v>20140725</v>
      </c>
      <c r="B34" s="8" t="str">
        <f t="shared" ref="B34:B37" si="27">"20140725"</f>
        <v>20140725</v>
      </c>
      <c r="C34" s="8" t="str">
        <f t="shared" si="23"/>
        <v>证券卖出</v>
      </c>
      <c r="D34" s="8" t="str">
        <f>"511990"</f>
        <v>511990</v>
      </c>
      <c r="E34" s="8" t="str">
        <f>"华宝添益"</f>
        <v>华宝添益</v>
      </c>
      <c r="F34" s="8">
        <v>100.012</v>
      </c>
      <c r="G34" s="8">
        <v>200</v>
      </c>
      <c r="H34" s="8">
        <v>20002.4</v>
      </c>
      <c r="I34" s="8">
        <v>20002.4</v>
      </c>
      <c r="J34" s="8">
        <v>20473.09</v>
      </c>
      <c r="K34" s="8">
        <v>0</v>
      </c>
      <c r="L34" s="8" t="str">
        <f t="shared" si="1"/>
        <v>人民币</v>
      </c>
      <c r="M34" s="8" t="str">
        <f>"1361000754"</f>
        <v>1361000754</v>
      </c>
      <c r="N34" s="8" t="str">
        <f t="shared" si="25"/>
        <v>A368402599</v>
      </c>
      <c r="O34" s="8" t="str">
        <f t="shared" si="3"/>
        <v>300100052893</v>
      </c>
    </row>
    <row r="35" spans="1:15">
      <c r="A35" s="8" t="str">
        <f t="shared" si="26"/>
        <v>20140725</v>
      </c>
      <c r="B35" s="8" t="str">
        <f t="shared" si="27"/>
        <v>20140725</v>
      </c>
      <c r="C35" s="8" t="str">
        <f t="shared" si="24"/>
        <v>证券买入</v>
      </c>
      <c r="D35" s="8" t="str">
        <f>"601607"</f>
        <v>601607</v>
      </c>
      <c r="E35" s="8" t="str">
        <f>"上海医药"</f>
        <v>上海医药</v>
      </c>
      <c r="F35" s="8">
        <v>12.44</v>
      </c>
      <c r="G35" s="8">
        <v>500</v>
      </c>
      <c r="H35" s="8">
        <v>6220</v>
      </c>
      <c r="I35" s="8">
        <v>-6227.14</v>
      </c>
      <c r="J35" s="8">
        <v>14245.95</v>
      </c>
      <c r="K35" s="8">
        <v>3500</v>
      </c>
      <c r="L35" s="8" t="str">
        <f t="shared" si="1"/>
        <v>人民币</v>
      </c>
      <c r="M35" s="8" t="str">
        <f>"1361001671"</f>
        <v>1361001671</v>
      </c>
      <c r="N35" s="8" t="str">
        <f t="shared" si="25"/>
        <v>A368402599</v>
      </c>
      <c r="O35" s="8" t="str">
        <f t="shared" si="3"/>
        <v>300100052893</v>
      </c>
    </row>
    <row r="36" spans="1:15">
      <c r="A36" s="8" t="str">
        <f t="shared" si="26"/>
        <v>20140725</v>
      </c>
      <c r="B36" s="8" t="str">
        <f t="shared" si="27"/>
        <v>20140725</v>
      </c>
      <c r="C36" s="8" t="str">
        <f t="shared" si="24"/>
        <v>证券买入</v>
      </c>
      <c r="D36" s="8" t="str">
        <f>"601166"</f>
        <v>601166</v>
      </c>
      <c r="E36" s="8" t="str">
        <f>"兴业银行"</f>
        <v>兴业银行</v>
      </c>
      <c r="F36" s="8">
        <v>10.31</v>
      </c>
      <c r="G36" s="8">
        <v>500</v>
      </c>
      <c r="H36" s="8">
        <v>5155</v>
      </c>
      <c r="I36" s="8">
        <v>-5160.97</v>
      </c>
      <c r="J36" s="8">
        <v>9084.98</v>
      </c>
      <c r="K36" s="8">
        <v>500</v>
      </c>
      <c r="L36" s="8" t="str">
        <f t="shared" si="1"/>
        <v>人民币</v>
      </c>
      <c r="M36" s="8" t="str">
        <f>"1361001684"</f>
        <v>1361001684</v>
      </c>
      <c r="N36" s="8" t="str">
        <f t="shared" si="25"/>
        <v>A368402599</v>
      </c>
      <c r="O36" s="8" t="str">
        <f t="shared" si="3"/>
        <v>300100052893</v>
      </c>
    </row>
    <row r="37" spans="1:15">
      <c r="A37" s="8" t="str">
        <f t="shared" si="26"/>
        <v>20140725</v>
      </c>
      <c r="B37" s="8" t="str">
        <f t="shared" si="27"/>
        <v>20140725</v>
      </c>
      <c r="C37" s="8" t="str">
        <f t="shared" si="24"/>
        <v>证券买入</v>
      </c>
      <c r="D37" s="8" t="str">
        <f>"601088"</f>
        <v>601088</v>
      </c>
      <c r="E37" s="8" t="str">
        <f>"中国神华"</f>
        <v>中国神华</v>
      </c>
      <c r="F37" s="8">
        <v>14.46</v>
      </c>
      <c r="G37" s="8">
        <v>600</v>
      </c>
      <c r="H37" s="8">
        <v>8676</v>
      </c>
      <c r="I37" s="8">
        <v>-8685.9</v>
      </c>
      <c r="J37" s="8">
        <v>399.08</v>
      </c>
      <c r="K37" s="8">
        <v>600</v>
      </c>
      <c r="L37" s="8" t="str">
        <f t="shared" si="1"/>
        <v>人民币</v>
      </c>
      <c r="M37" s="8" t="str">
        <f>"1361001998"</f>
        <v>1361001998</v>
      </c>
      <c r="N37" s="8" t="str">
        <f t="shared" si="25"/>
        <v>A368402599</v>
      </c>
      <c r="O37" s="8" t="str">
        <f t="shared" si="3"/>
        <v>300100052893</v>
      </c>
    </row>
    <row r="38" spans="1:15">
      <c r="A38" s="8" t="str">
        <f t="shared" ref="A38:A42" si="28">"20140728"</f>
        <v>20140728</v>
      </c>
      <c r="B38" s="8" t="str">
        <f t="shared" ref="B38:B41" si="29">"20140728"</f>
        <v>20140728</v>
      </c>
      <c r="C38" s="8" t="str">
        <f t="shared" ref="C38:C41" si="30">"证券卖出"</f>
        <v>证券卖出</v>
      </c>
      <c r="D38" s="8" t="str">
        <f>"601088"</f>
        <v>601088</v>
      </c>
      <c r="E38" s="8" t="str">
        <f>"中国神华"</f>
        <v>中国神华</v>
      </c>
      <c r="F38" s="8">
        <v>15.32</v>
      </c>
      <c r="G38" s="8">
        <v>600</v>
      </c>
      <c r="H38" s="8">
        <v>9192</v>
      </c>
      <c r="I38" s="8">
        <v>9172.33</v>
      </c>
      <c r="J38" s="8">
        <v>9571.41</v>
      </c>
      <c r="K38" s="8">
        <v>0</v>
      </c>
      <c r="L38" s="8" t="str">
        <f t="shared" si="1"/>
        <v>人民币</v>
      </c>
      <c r="M38" s="8" t="str">
        <f>"1361001282"</f>
        <v>1361001282</v>
      </c>
      <c r="N38" s="8" t="str">
        <f t="shared" si="25"/>
        <v>A368402599</v>
      </c>
      <c r="O38" s="8" t="str">
        <f t="shared" si="3"/>
        <v>300100052893</v>
      </c>
    </row>
    <row r="39" spans="1:15">
      <c r="A39" s="8" t="str">
        <f t="shared" si="28"/>
        <v>20140728</v>
      </c>
      <c r="B39" s="8" t="str">
        <f t="shared" si="29"/>
        <v>20140728</v>
      </c>
      <c r="C39" s="8" t="str">
        <f t="shared" ref="C39:C44" si="31">"证券买入"</f>
        <v>证券买入</v>
      </c>
      <c r="D39" s="8" t="str">
        <f t="shared" ref="D39:D43" si="32">"601607"</f>
        <v>601607</v>
      </c>
      <c r="E39" s="8" t="str">
        <f t="shared" ref="E39:E43" si="33">"上海医药"</f>
        <v>上海医药</v>
      </c>
      <c r="F39" s="8">
        <v>12.67</v>
      </c>
      <c r="G39" s="8">
        <v>500</v>
      </c>
      <c r="H39" s="8">
        <v>6335</v>
      </c>
      <c r="I39" s="8">
        <v>-6342.27</v>
      </c>
      <c r="J39" s="8">
        <v>3229.14</v>
      </c>
      <c r="K39" s="8">
        <v>4000</v>
      </c>
      <c r="L39" s="8" t="str">
        <f t="shared" si="1"/>
        <v>人民币</v>
      </c>
      <c r="M39" s="8" t="str">
        <f>"1361001469"</f>
        <v>1361001469</v>
      </c>
      <c r="N39" s="8" t="str">
        <f t="shared" si="25"/>
        <v>A368402599</v>
      </c>
      <c r="O39" s="8" t="str">
        <f t="shared" si="3"/>
        <v>300100052893</v>
      </c>
    </row>
    <row r="40" spans="1:15">
      <c r="A40" s="8" t="str">
        <f t="shared" si="28"/>
        <v>20140728</v>
      </c>
      <c r="B40" s="8" t="str">
        <f t="shared" si="29"/>
        <v>20140728</v>
      </c>
      <c r="C40" s="8" t="str">
        <f t="shared" si="30"/>
        <v>证券卖出</v>
      </c>
      <c r="D40" s="8" t="str">
        <f>"601166"</f>
        <v>601166</v>
      </c>
      <c r="E40" s="8" t="str">
        <f>"兴业银行"</f>
        <v>兴业银行</v>
      </c>
      <c r="F40" s="8">
        <v>10.86</v>
      </c>
      <c r="G40" s="8">
        <v>500</v>
      </c>
      <c r="H40" s="8">
        <v>5430</v>
      </c>
      <c r="I40" s="8">
        <v>5418.3</v>
      </c>
      <c r="J40" s="8">
        <v>8647.44</v>
      </c>
      <c r="K40" s="8">
        <v>0</v>
      </c>
      <c r="L40" s="8" t="str">
        <f t="shared" si="1"/>
        <v>人民币</v>
      </c>
      <c r="M40" s="8" t="str">
        <f>"1361004421"</f>
        <v>1361004421</v>
      </c>
      <c r="N40" s="8" t="str">
        <f t="shared" si="25"/>
        <v>A368402599</v>
      </c>
      <c r="O40" s="8" t="str">
        <f t="shared" si="3"/>
        <v>300100052893</v>
      </c>
    </row>
    <row r="41" spans="1:15">
      <c r="A41" s="8" t="str">
        <f t="shared" si="28"/>
        <v>20140728</v>
      </c>
      <c r="B41" s="8" t="str">
        <f t="shared" si="29"/>
        <v>20140728</v>
      </c>
      <c r="C41" s="8" t="str">
        <f t="shared" si="30"/>
        <v>证券卖出</v>
      </c>
      <c r="D41" s="8" t="str">
        <f t="shared" si="32"/>
        <v>601607</v>
      </c>
      <c r="E41" s="8" t="str">
        <f t="shared" si="33"/>
        <v>上海医药</v>
      </c>
      <c r="F41" s="8">
        <v>12.79</v>
      </c>
      <c r="G41" s="8">
        <v>500</v>
      </c>
      <c r="H41" s="8">
        <v>6395</v>
      </c>
      <c r="I41" s="8">
        <v>6381.27</v>
      </c>
      <c r="J41" s="8">
        <v>15028.71</v>
      </c>
      <c r="K41" s="8">
        <v>3500</v>
      </c>
      <c r="L41" s="8" t="str">
        <f t="shared" si="1"/>
        <v>人民币</v>
      </c>
      <c r="M41" s="8" t="str">
        <f>"1361004849"</f>
        <v>1361004849</v>
      </c>
      <c r="N41" s="8" t="str">
        <f t="shared" si="25"/>
        <v>A368402599</v>
      </c>
      <c r="O41" s="8" t="str">
        <f t="shared" si="3"/>
        <v>300100052893</v>
      </c>
    </row>
    <row r="42" spans="1:15">
      <c r="A42" s="8" t="str">
        <f t="shared" si="28"/>
        <v>20140728</v>
      </c>
      <c r="B42" s="8" t="str">
        <f>"20140725"</f>
        <v>20140725</v>
      </c>
      <c r="C42" s="8" t="str">
        <f>"ETF 申购退款"</f>
        <v>ETF 申购退款</v>
      </c>
      <c r="D42" s="8" t="str">
        <f>"511990"</f>
        <v>511990</v>
      </c>
      <c r="E42" s="8" t="str">
        <f>"华宝添益"</f>
        <v>华宝添益</v>
      </c>
      <c r="F42" s="8">
        <v>0</v>
      </c>
      <c r="G42" s="8">
        <v>0</v>
      </c>
      <c r="H42" s="8">
        <v>2.15</v>
      </c>
      <c r="I42" s="8">
        <v>2.15</v>
      </c>
      <c r="J42" s="8">
        <v>15030.86</v>
      </c>
      <c r="K42" s="8">
        <v>0</v>
      </c>
      <c r="L42" s="8" t="str">
        <f t="shared" si="1"/>
        <v>人民币</v>
      </c>
      <c r="N42" s="8" t="str">
        <f t="shared" si="25"/>
        <v>A368402599</v>
      </c>
      <c r="O42" s="8" t="str">
        <f t="shared" si="3"/>
        <v>300100052893</v>
      </c>
    </row>
    <row r="43" spans="1:15">
      <c r="A43" s="8" t="str">
        <f>"20140729"</f>
        <v>20140729</v>
      </c>
      <c r="B43" s="8" t="str">
        <f>"20140729"</f>
        <v>20140729</v>
      </c>
      <c r="C43" s="8" t="str">
        <f t="shared" si="31"/>
        <v>证券买入</v>
      </c>
      <c r="D43" s="8" t="str">
        <f t="shared" si="32"/>
        <v>601607</v>
      </c>
      <c r="E43" s="8" t="str">
        <f t="shared" si="33"/>
        <v>上海医药</v>
      </c>
      <c r="F43" s="8">
        <v>12.75</v>
      </c>
      <c r="G43" s="8">
        <v>500</v>
      </c>
      <c r="H43" s="8">
        <v>6375</v>
      </c>
      <c r="I43" s="8">
        <v>-6382.31</v>
      </c>
      <c r="J43" s="8">
        <v>8648.55</v>
      </c>
      <c r="K43" s="8">
        <v>4000</v>
      </c>
      <c r="L43" s="8" t="str">
        <f t="shared" si="1"/>
        <v>人民币</v>
      </c>
      <c r="M43" s="8" t="str">
        <f>"1361001960"</f>
        <v>1361001960</v>
      </c>
      <c r="N43" s="8" t="str">
        <f t="shared" si="25"/>
        <v>A368402599</v>
      </c>
      <c r="O43" s="8" t="str">
        <f t="shared" si="3"/>
        <v>300100052893</v>
      </c>
    </row>
    <row r="44" spans="1:15">
      <c r="A44" s="8" t="str">
        <f>"20140730"</f>
        <v>20140730</v>
      </c>
      <c r="B44" s="8" t="str">
        <f>"20140730"</f>
        <v>20140730</v>
      </c>
      <c r="C44" s="8" t="str">
        <f t="shared" si="31"/>
        <v>证券买入</v>
      </c>
      <c r="D44" s="8" t="str">
        <f>"150181"</f>
        <v>150181</v>
      </c>
      <c r="E44" s="8" t="str">
        <f>"军工A"</f>
        <v>军工A</v>
      </c>
      <c r="F44" s="8">
        <v>0.895</v>
      </c>
      <c r="G44" s="8">
        <v>9600</v>
      </c>
      <c r="H44" s="8">
        <v>8592</v>
      </c>
      <c r="I44" s="8">
        <v>-8601.45</v>
      </c>
      <c r="J44" s="8">
        <v>47.1</v>
      </c>
      <c r="K44" s="8">
        <v>9600</v>
      </c>
      <c r="L44" s="8" t="str">
        <f t="shared" si="1"/>
        <v>人民币</v>
      </c>
      <c r="M44" s="8" t="str">
        <f>"T4004936"</f>
        <v>T4004936</v>
      </c>
      <c r="N44" s="8" t="str">
        <f>"0149593788"</f>
        <v>0149593788</v>
      </c>
      <c r="O44" s="8" t="str">
        <f t="shared" si="3"/>
        <v>300100052893</v>
      </c>
    </row>
    <row r="45" spans="1:15">
      <c r="A45" s="8" t="str">
        <f>"20140801"</f>
        <v>20140801</v>
      </c>
      <c r="B45" s="8" t="str">
        <f>"20140801"</f>
        <v>20140801</v>
      </c>
      <c r="C45" s="8" t="str">
        <f>"证券卖出"</f>
        <v>证券卖出</v>
      </c>
      <c r="D45" s="8" t="str">
        <f>"122535"</f>
        <v>122535</v>
      </c>
      <c r="E45" s="8" t="str">
        <f>"12苏飞达"</f>
        <v>12苏飞达</v>
      </c>
      <c r="F45" s="8">
        <v>102.847</v>
      </c>
      <c r="G45" s="8">
        <v>30</v>
      </c>
      <c r="H45" s="8">
        <v>3085.41</v>
      </c>
      <c r="I45" s="8">
        <v>3084.41</v>
      </c>
      <c r="J45" s="8">
        <v>3131.51</v>
      </c>
      <c r="K45" s="8">
        <v>0</v>
      </c>
      <c r="L45" s="8" t="str">
        <f t="shared" si="1"/>
        <v>人民币</v>
      </c>
      <c r="M45" s="8" t="str">
        <f>"1361000489"</f>
        <v>1361000489</v>
      </c>
      <c r="N45" s="8" t="str">
        <f t="shared" ref="N45:N50" si="34">"A368402599"</f>
        <v>A368402599</v>
      </c>
      <c r="O45" s="8" t="str">
        <f t="shared" si="3"/>
        <v>300100052893</v>
      </c>
    </row>
    <row r="46" spans="1:15">
      <c r="A46" s="8" t="str">
        <f>"20140801"</f>
        <v>20140801</v>
      </c>
      <c r="B46" s="8" t="str">
        <f>"20140801"</f>
        <v>20140801</v>
      </c>
      <c r="C46" s="8" t="str">
        <f t="shared" ref="C46:C53" si="35">"证券买入"</f>
        <v>证券买入</v>
      </c>
      <c r="D46" s="8" t="str">
        <f>"150181"</f>
        <v>150181</v>
      </c>
      <c r="E46" s="8" t="str">
        <f>"军工A"</f>
        <v>军工A</v>
      </c>
      <c r="F46" s="8">
        <v>0.887</v>
      </c>
      <c r="G46" s="8">
        <v>3500</v>
      </c>
      <c r="H46" s="8">
        <v>3104.5</v>
      </c>
      <c r="I46" s="8">
        <v>-3109.5</v>
      </c>
      <c r="J46" s="8">
        <v>22.01</v>
      </c>
      <c r="K46" s="8">
        <v>13100</v>
      </c>
      <c r="L46" s="8" t="str">
        <f t="shared" si="1"/>
        <v>人民币</v>
      </c>
      <c r="M46" s="8" t="str">
        <f>"T4000571"</f>
        <v>T4000571</v>
      </c>
      <c r="N46" s="8" t="str">
        <f>"0149593788"</f>
        <v>0149593788</v>
      </c>
      <c r="O46" s="8" t="str">
        <f t="shared" si="3"/>
        <v>300100052893</v>
      </c>
    </row>
    <row r="47" spans="1:15">
      <c r="A47" s="8" t="str">
        <f>"20140813"</f>
        <v>20140813</v>
      </c>
      <c r="B47" s="8" t="str">
        <f t="shared" ref="B47:B50" si="36">"20140813"</f>
        <v>20140813</v>
      </c>
      <c r="C47" s="8" t="str">
        <f>"银行转证券"</f>
        <v>银行转证券</v>
      </c>
      <c r="F47" s="8">
        <v>0</v>
      </c>
      <c r="G47" s="8">
        <v>0</v>
      </c>
      <c r="H47" s="8">
        <v>0</v>
      </c>
      <c r="I47" s="8">
        <v>40000</v>
      </c>
      <c r="J47" s="8">
        <v>40022.01</v>
      </c>
      <c r="K47" s="8">
        <v>0</v>
      </c>
      <c r="L47" s="8" t="str">
        <f t="shared" si="1"/>
        <v>人民币</v>
      </c>
      <c r="O47" s="8" t="str">
        <f t="shared" si="3"/>
        <v>300100052893</v>
      </c>
    </row>
    <row r="48" spans="1:15">
      <c r="A48" s="8" t="str">
        <f>"20140813"</f>
        <v>20140813</v>
      </c>
      <c r="B48" s="8" t="str">
        <f t="shared" si="36"/>
        <v>20140813</v>
      </c>
      <c r="C48" s="8" t="str">
        <f t="shared" si="35"/>
        <v>证券买入</v>
      </c>
      <c r="D48" s="8" t="str">
        <f>"511990"</f>
        <v>511990</v>
      </c>
      <c r="E48" s="8" t="str">
        <f>"华宝添益"</f>
        <v>华宝添益</v>
      </c>
      <c r="F48" s="8">
        <v>99.993</v>
      </c>
      <c r="G48" s="8">
        <v>400</v>
      </c>
      <c r="H48" s="8">
        <v>39997.2</v>
      </c>
      <c r="I48" s="8">
        <v>-39997.2</v>
      </c>
      <c r="J48" s="8">
        <v>24.81</v>
      </c>
      <c r="K48" s="8">
        <v>400</v>
      </c>
      <c r="L48" s="8" t="str">
        <f t="shared" si="1"/>
        <v>人民币</v>
      </c>
      <c r="M48" s="8" t="str">
        <f>"1361004086"</f>
        <v>1361004086</v>
      </c>
      <c r="N48" s="8" t="str">
        <f t="shared" si="34"/>
        <v>A368402599</v>
      </c>
      <c r="O48" s="8" t="str">
        <f t="shared" si="3"/>
        <v>300100052893</v>
      </c>
    </row>
    <row r="49" spans="1:15">
      <c r="A49" s="8" t="str">
        <f>"20140814"</f>
        <v>20140814</v>
      </c>
      <c r="B49" s="8" t="str">
        <f t="shared" si="36"/>
        <v>20140813</v>
      </c>
      <c r="C49" s="8" t="str">
        <f>"ETF 基金赎回"</f>
        <v>ETF 基金赎回</v>
      </c>
      <c r="D49" s="8" t="str">
        <f>"511991"</f>
        <v>511991</v>
      </c>
      <c r="E49" s="8" t="str">
        <f>"添益申赎"</f>
        <v>添益申赎</v>
      </c>
      <c r="F49" s="8">
        <v>0</v>
      </c>
      <c r="G49" s="8">
        <v>400</v>
      </c>
      <c r="H49" s="8">
        <v>0</v>
      </c>
      <c r="I49" s="8">
        <v>0</v>
      </c>
      <c r="J49" s="8">
        <v>24.81</v>
      </c>
      <c r="K49" s="8">
        <v>0</v>
      </c>
      <c r="L49" s="8" t="str">
        <f t="shared" si="1"/>
        <v>人民币</v>
      </c>
      <c r="M49" s="8" t="str">
        <f>"1361004168"</f>
        <v>1361004168</v>
      </c>
      <c r="N49" s="8" t="str">
        <f t="shared" si="34"/>
        <v>A368402599</v>
      </c>
      <c r="O49" s="8" t="str">
        <f t="shared" si="3"/>
        <v>300100052893</v>
      </c>
    </row>
    <row r="50" spans="1:15">
      <c r="A50" s="8" t="str">
        <f>"20140814"</f>
        <v>20140814</v>
      </c>
      <c r="B50" s="8" t="str">
        <f t="shared" si="36"/>
        <v>20140813</v>
      </c>
      <c r="C50" s="8" t="str">
        <f>"ETF 申购退款"</f>
        <v>ETF 申购退款</v>
      </c>
      <c r="D50" s="8" t="str">
        <f>"511990"</f>
        <v>511990</v>
      </c>
      <c r="E50" s="8" t="str">
        <f>"华宝添益"</f>
        <v>华宝添益</v>
      </c>
      <c r="F50" s="8">
        <v>0</v>
      </c>
      <c r="G50" s="8">
        <v>0</v>
      </c>
      <c r="H50" s="8">
        <v>40004.19</v>
      </c>
      <c r="I50" s="8">
        <v>40004.19</v>
      </c>
      <c r="J50" s="8">
        <v>40029</v>
      </c>
      <c r="K50" s="8">
        <v>0</v>
      </c>
      <c r="L50" s="8" t="str">
        <f t="shared" si="1"/>
        <v>人民币</v>
      </c>
      <c r="N50" s="8" t="str">
        <f t="shared" si="34"/>
        <v>A368402599</v>
      </c>
      <c r="O50" s="8" t="str">
        <f t="shared" si="3"/>
        <v>300100052893</v>
      </c>
    </row>
    <row r="51" spans="1:15">
      <c r="A51" s="8" t="str">
        <f t="shared" ref="A51:A53" si="37">"20140815"</f>
        <v>20140815</v>
      </c>
      <c r="B51" s="8" t="str">
        <f t="shared" ref="B51:B53" si="38">"20140815"</f>
        <v>20140815</v>
      </c>
      <c r="C51" s="8" t="str">
        <f t="shared" si="35"/>
        <v>证券买入</v>
      </c>
      <c r="D51" s="8" t="str">
        <f>"000868"</f>
        <v>000868</v>
      </c>
      <c r="E51" s="8" t="str">
        <f>"安凯客车"</f>
        <v>安凯客车</v>
      </c>
      <c r="F51" s="8">
        <v>5.43</v>
      </c>
      <c r="G51" s="8">
        <v>500</v>
      </c>
      <c r="H51" s="8">
        <v>2715</v>
      </c>
      <c r="I51" s="8">
        <v>-2720</v>
      </c>
      <c r="J51" s="8">
        <v>37309</v>
      </c>
      <c r="K51" s="8">
        <v>500</v>
      </c>
      <c r="L51" s="8" t="str">
        <f t="shared" si="1"/>
        <v>人民币</v>
      </c>
      <c r="M51" s="8" t="str">
        <f>"T4000314"</f>
        <v>T4000314</v>
      </c>
      <c r="N51" s="8" t="str">
        <f t="shared" ref="N51:N54" si="39">"0149593788"</f>
        <v>0149593788</v>
      </c>
      <c r="O51" s="8" t="str">
        <f t="shared" si="3"/>
        <v>300100052893</v>
      </c>
    </row>
    <row r="52" spans="1:15">
      <c r="A52" s="8" t="str">
        <f t="shared" si="37"/>
        <v>20140815</v>
      </c>
      <c r="B52" s="8" t="str">
        <f t="shared" si="38"/>
        <v>20140815</v>
      </c>
      <c r="C52" s="8" t="str">
        <f t="shared" si="35"/>
        <v>证券买入</v>
      </c>
      <c r="D52" s="8" t="str">
        <f t="shared" ref="D52:D56" si="40">"150182"</f>
        <v>150182</v>
      </c>
      <c r="E52" s="8" t="str">
        <f t="shared" ref="E52:E56" si="41">"军工B"</f>
        <v>军工B</v>
      </c>
      <c r="F52" s="8">
        <v>1.513</v>
      </c>
      <c r="G52" s="8">
        <v>5000</v>
      </c>
      <c r="H52" s="8">
        <v>7565</v>
      </c>
      <c r="I52" s="8">
        <v>-7570</v>
      </c>
      <c r="J52" s="8">
        <v>29739</v>
      </c>
      <c r="K52" s="8">
        <v>5000</v>
      </c>
      <c r="L52" s="8" t="str">
        <f t="shared" si="1"/>
        <v>人民币</v>
      </c>
      <c r="M52" s="8" t="str">
        <f>"T4002837"</f>
        <v>T4002837</v>
      </c>
      <c r="N52" s="8" t="str">
        <f t="shared" si="39"/>
        <v>0149593788</v>
      </c>
      <c r="O52" s="8" t="str">
        <f t="shared" si="3"/>
        <v>300100052893</v>
      </c>
    </row>
    <row r="53" spans="1:15">
      <c r="A53" s="8" t="str">
        <f t="shared" si="37"/>
        <v>20140815</v>
      </c>
      <c r="B53" s="8" t="str">
        <f t="shared" si="38"/>
        <v>20140815</v>
      </c>
      <c r="C53" s="8" t="str">
        <f t="shared" si="35"/>
        <v>证券买入</v>
      </c>
      <c r="D53" s="8" t="str">
        <f>"000868"</f>
        <v>000868</v>
      </c>
      <c r="E53" s="8" t="str">
        <f>"安凯客车"</f>
        <v>安凯客车</v>
      </c>
      <c r="F53" s="8">
        <v>5.44</v>
      </c>
      <c r="G53" s="8">
        <v>1500</v>
      </c>
      <c r="H53" s="8">
        <v>8160</v>
      </c>
      <c r="I53" s="8">
        <v>-8165</v>
      </c>
      <c r="J53" s="8">
        <v>21574</v>
      </c>
      <c r="K53" s="8">
        <v>2000</v>
      </c>
      <c r="L53" s="8" t="str">
        <f t="shared" si="1"/>
        <v>人民币</v>
      </c>
      <c r="M53" s="8" t="str">
        <f>"T4004623"</f>
        <v>T4004623</v>
      </c>
      <c r="N53" s="8" t="str">
        <f t="shared" si="39"/>
        <v>0149593788</v>
      </c>
      <c r="O53" s="8" t="str">
        <f t="shared" si="3"/>
        <v>300100052893</v>
      </c>
    </row>
    <row r="54" spans="1:15">
      <c r="A54" s="8" t="str">
        <f t="shared" ref="A54:A57" si="42">"20140818"</f>
        <v>20140818</v>
      </c>
      <c r="B54" s="8" t="str">
        <f t="shared" ref="B54:B57" si="43">"20140818"</f>
        <v>20140818</v>
      </c>
      <c r="C54" s="8" t="str">
        <f t="shared" ref="C54:C59" si="44">"证券卖出"</f>
        <v>证券卖出</v>
      </c>
      <c r="D54" s="8" t="str">
        <f t="shared" si="40"/>
        <v>150182</v>
      </c>
      <c r="E54" s="8" t="str">
        <f t="shared" si="41"/>
        <v>军工B</v>
      </c>
      <c r="F54" s="8">
        <v>1.535</v>
      </c>
      <c r="G54" s="8">
        <v>5000</v>
      </c>
      <c r="H54" s="8">
        <v>7675</v>
      </c>
      <c r="I54" s="8">
        <v>7670</v>
      </c>
      <c r="J54" s="8">
        <v>29244</v>
      </c>
      <c r="K54" s="8">
        <v>0</v>
      </c>
      <c r="L54" s="8" t="str">
        <f t="shared" si="1"/>
        <v>人民币</v>
      </c>
      <c r="M54" s="8" t="str">
        <f>"T4001389"</f>
        <v>T4001389</v>
      </c>
      <c r="N54" s="8" t="str">
        <f t="shared" si="39"/>
        <v>0149593788</v>
      </c>
      <c r="O54" s="8" t="str">
        <f t="shared" si="3"/>
        <v>300100052893</v>
      </c>
    </row>
    <row r="55" spans="1:15">
      <c r="A55" s="8" t="str">
        <f t="shared" si="42"/>
        <v>20140818</v>
      </c>
      <c r="B55" s="8" t="str">
        <f t="shared" si="43"/>
        <v>20140818</v>
      </c>
      <c r="C55" s="8" t="str">
        <f t="shared" si="44"/>
        <v>证券卖出</v>
      </c>
      <c r="D55" s="8" t="str">
        <f>"601607"</f>
        <v>601607</v>
      </c>
      <c r="E55" s="8" t="str">
        <f>"上海医药"</f>
        <v>上海医药</v>
      </c>
      <c r="F55" s="8">
        <v>12.93</v>
      </c>
      <c r="G55" s="8">
        <v>500</v>
      </c>
      <c r="H55" s="8">
        <v>6465</v>
      </c>
      <c r="I55" s="8">
        <v>6453.23</v>
      </c>
      <c r="J55" s="8">
        <v>35697.23</v>
      </c>
      <c r="K55" s="8">
        <v>3500</v>
      </c>
      <c r="L55" s="8" t="str">
        <f t="shared" si="1"/>
        <v>人民币</v>
      </c>
      <c r="M55" s="8" t="str">
        <f>"1361001664"</f>
        <v>1361001664</v>
      </c>
      <c r="N55" s="8" t="str">
        <f>"A368402599"</f>
        <v>A368402599</v>
      </c>
      <c r="O55" s="8" t="str">
        <f t="shared" si="3"/>
        <v>300100052893</v>
      </c>
    </row>
    <row r="56" spans="1:15">
      <c r="A56" s="8" t="str">
        <f t="shared" si="42"/>
        <v>20140818</v>
      </c>
      <c r="B56" s="8" t="str">
        <f t="shared" si="43"/>
        <v>20140818</v>
      </c>
      <c r="C56" s="8" t="str">
        <f t="shared" ref="C56:C61" si="45">"证券买入"</f>
        <v>证券买入</v>
      </c>
      <c r="D56" s="8" t="str">
        <f t="shared" si="40"/>
        <v>150182</v>
      </c>
      <c r="E56" s="8" t="str">
        <f t="shared" si="41"/>
        <v>军工B</v>
      </c>
      <c r="F56" s="8">
        <v>1.527</v>
      </c>
      <c r="G56" s="8">
        <v>10000</v>
      </c>
      <c r="H56" s="8">
        <v>15270</v>
      </c>
      <c r="I56" s="8">
        <v>-15277.64</v>
      </c>
      <c r="J56" s="8">
        <v>20419.59</v>
      </c>
      <c r="K56" s="8">
        <v>10000</v>
      </c>
      <c r="L56" s="8" t="str">
        <f t="shared" si="1"/>
        <v>人民币</v>
      </c>
      <c r="M56" s="8" t="str">
        <f>"T4003258"</f>
        <v>T4003258</v>
      </c>
      <c r="N56" s="8" t="str">
        <f t="shared" ref="N56:N60" si="46">"0149593788"</f>
        <v>0149593788</v>
      </c>
      <c r="O56" s="8" t="str">
        <f t="shared" si="3"/>
        <v>300100052893</v>
      </c>
    </row>
    <row r="57" spans="1:15">
      <c r="A57" s="8" t="str">
        <f t="shared" si="42"/>
        <v>20140818</v>
      </c>
      <c r="B57" s="8" t="str">
        <f t="shared" si="43"/>
        <v>20140818</v>
      </c>
      <c r="C57" s="8" t="str">
        <f t="shared" si="45"/>
        <v>证券买入</v>
      </c>
      <c r="D57" s="8" t="str">
        <f>"150181"</f>
        <v>150181</v>
      </c>
      <c r="E57" s="8" t="str">
        <f>"军工A"</f>
        <v>军工A</v>
      </c>
      <c r="F57" s="8">
        <v>0.903</v>
      </c>
      <c r="G57" s="8">
        <v>10000</v>
      </c>
      <c r="H57" s="8">
        <v>9030</v>
      </c>
      <c r="I57" s="8">
        <v>-9035</v>
      </c>
      <c r="J57" s="8">
        <v>11384.59</v>
      </c>
      <c r="K57" s="8">
        <v>23100</v>
      </c>
      <c r="L57" s="8" t="str">
        <f t="shared" si="1"/>
        <v>人民币</v>
      </c>
      <c r="M57" s="8" t="str">
        <f>"T4003352"</f>
        <v>T4003352</v>
      </c>
      <c r="N57" s="8" t="str">
        <f t="shared" si="46"/>
        <v>0149593788</v>
      </c>
      <c r="O57" s="8" t="str">
        <f t="shared" si="3"/>
        <v>300100052893</v>
      </c>
    </row>
    <row r="58" spans="1:15">
      <c r="A58" s="8" t="str">
        <f t="shared" ref="A58:A61" si="47">"20140819"</f>
        <v>20140819</v>
      </c>
      <c r="B58" s="8" t="str">
        <f t="shared" ref="B58:B61" si="48">"20140819"</f>
        <v>20140819</v>
      </c>
      <c r="C58" s="8" t="str">
        <f t="shared" si="44"/>
        <v>证券卖出</v>
      </c>
      <c r="D58" s="8" t="str">
        <f t="shared" ref="D58:D60" si="49">"150182"</f>
        <v>150182</v>
      </c>
      <c r="E58" s="8" t="str">
        <f t="shared" ref="E58:E60" si="50">"军工B"</f>
        <v>军工B</v>
      </c>
      <c r="F58" s="8">
        <v>1.578</v>
      </c>
      <c r="G58" s="8">
        <v>2500</v>
      </c>
      <c r="H58" s="8">
        <v>3945</v>
      </c>
      <c r="I58" s="8">
        <v>3940</v>
      </c>
      <c r="J58" s="8">
        <v>15324.59</v>
      </c>
      <c r="K58" s="8">
        <v>7500</v>
      </c>
      <c r="L58" s="8" t="str">
        <f t="shared" si="1"/>
        <v>人民币</v>
      </c>
      <c r="M58" s="8" t="str">
        <f>"T4003674"</f>
        <v>T4003674</v>
      </c>
      <c r="N58" s="8" t="str">
        <f t="shared" si="46"/>
        <v>0149593788</v>
      </c>
      <c r="O58" s="8" t="str">
        <f t="shared" si="3"/>
        <v>300100052893</v>
      </c>
    </row>
    <row r="59" spans="1:15">
      <c r="A59" s="8" t="str">
        <f t="shared" si="47"/>
        <v>20140819</v>
      </c>
      <c r="B59" s="8" t="str">
        <f t="shared" si="48"/>
        <v>20140819</v>
      </c>
      <c r="C59" s="8" t="str">
        <f t="shared" si="44"/>
        <v>证券卖出</v>
      </c>
      <c r="D59" s="8" t="str">
        <f t="shared" si="49"/>
        <v>150182</v>
      </c>
      <c r="E59" s="8" t="str">
        <f t="shared" si="50"/>
        <v>军工B</v>
      </c>
      <c r="F59" s="8">
        <v>1.565</v>
      </c>
      <c r="G59" s="8">
        <v>5000</v>
      </c>
      <c r="H59" s="8">
        <v>7825</v>
      </c>
      <c r="I59" s="8">
        <v>7820</v>
      </c>
      <c r="J59" s="8">
        <v>23144.59</v>
      </c>
      <c r="K59" s="8">
        <v>2500</v>
      </c>
      <c r="L59" s="8" t="str">
        <f t="shared" si="1"/>
        <v>人民币</v>
      </c>
      <c r="M59" s="8" t="str">
        <f>"T4003751"</f>
        <v>T4003751</v>
      </c>
      <c r="N59" s="8" t="str">
        <f t="shared" si="46"/>
        <v>0149593788</v>
      </c>
      <c r="O59" s="8" t="str">
        <f t="shared" si="3"/>
        <v>300100052893</v>
      </c>
    </row>
    <row r="60" spans="1:15">
      <c r="A60" s="8" t="str">
        <f t="shared" si="47"/>
        <v>20140819</v>
      </c>
      <c r="B60" s="8" t="str">
        <f t="shared" si="48"/>
        <v>20140819</v>
      </c>
      <c r="C60" s="8" t="str">
        <f t="shared" si="45"/>
        <v>证券买入</v>
      </c>
      <c r="D60" s="8" t="str">
        <f t="shared" si="49"/>
        <v>150182</v>
      </c>
      <c r="E60" s="8" t="str">
        <f t="shared" si="50"/>
        <v>军工B</v>
      </c>
      <c r="F60" s="8">
        <v>1.55</v>
      </c>
      <c r="G60" s="8">
        <v>2500</v>
      </c>
      <c r="H60" s="8">
        <v>3875</v>
      </c>
      <c r="I60" s="8">
        <v>-3880</v>
      </c>
      <c r="J60" s="8">
        <v>19264.59</v>
      </c>
      <c r="K60" s="8">
        <v>5000</v>
      </c>
      <c r="L60" s="8" t="str">
        <f t="shared" si="1"/>
        <v>人民币</v>
      </c>
      <c r="M60" s="8" t="str">
        <f>"T4005826"</f>
        <v>T4005826</v>
      </c>
      <c r="N60" s="8" t="str">
        <f t="shared" si="46"/>
        <v>0149593788</v>
      </c>
      <c r="O60" s="8" t="str">
        <f t="shared" si="3"/>
        <v>300100052893</v>
      </c>
    </row>
    <row r="61" spans="1:15">
      <c r="A61" s="8" t="str">
        <f t="shared" si="47"/>
        <v>20140819</v>
      </c>
      <c r="B61" s="8" t="str">
        <f t="shared" si="48"/>
        <v>20140819</v>
      </c>
      <c r="C61" s="8" t="str">
        <f t="shared" si="45"/>
        <v>证券买入</v>
      </c>
      <c r="D61" s="8" t="str">
        <f t="shared" ref="D61:D64" si="51">"601607"</f>
        <v>601607</v>
      </c>
      <c r="E61" s="8" t="str">
        <f t="shared" ref="E61:E64" si="52">"上海医药"</f>
        <v>上海医药</v>
      </c>
      <c r="F61" s="8">
        <v>13.06</v>
      </c>
      <c r="G61" s="8">
        <v>1000</v>
      </c>
      <c r="H61" s="8">
        <v>13060</v>
      </c>
      <c r="I61" s="8">
        <v>-13067.13</v>
      </c>
      <c r="J61" s="8">
        <v>6197.46</v>
      </c>
      <c r="K61" s="8">
        <v>4500</v>
      </c>
      <c r="L61" s="8" t="str">
        <f t="shared" si="1"/>
        <v>人民币</v>
      </c>
      <c r="M61" s="8" t="str">
        <f>"1361004416"</f>
        <v>1361004416</v>
      </c>
      <c r="N61" s="8" t="str">
        <f t="shared" ref="N61:N64" si="53">"A368402599"</f>
        <v>A368402599</v>
      </c>
      <c r="O61" s="8" t="str">
        <f t="shared" si="3"/>
        <v>300100052893</v>
      </c>
    </row>
    <row r="62" spans="1:15">
      <c r="A62" s="8" t="str">
        <f>"20140821"</f>
        <v>20140821</v>
      </c>
      <c r="B62" s="8" t="str">
        <f>"20140821"</f>
        <v>20140821</v>
      </c>
      <c r="C62" s="8" t="str">
        <f t="shared" ref="C62:C65" si="54">"证券卖出"</f>
        <v>证券卖出</v>
      </c>
      <c r="D62" s="8" t="str">
        <f t="shared" ref="D62:D66" si="55">"150182"</f>
        <v>150182</v>
      </c>
      <c r="E62" s="8" t="str">
        <f t="shared" ref="E62:E66" si="56">"军工B"</f>
        <v>军工B</v>
      </c>
      <c r="F62" s="8">
        <v>1.576</v>
      </c>
      <c r="G62" s="8">
        <v>2500</v>
      </c>
      <c r="H62" s="8">
        <v>3940</v>
      </c>
      <c r="I62" s="8">
        <v>3935</v>
      </c>
      <c r="J62" s="8">
        <v>10132.46</v>
      </c>
      <c r="K62" s="8">
        <v>2500</v>
      </c>
      <c r="L62" s="8" t="str">
        <f t="shared" si="1"/>
        <v>人民币</v>
      </c>
      <c r="M62" s="8" t="str">
        <f>"T4002758"</f>
        <v>T4002758</v>
      </c>
      <c r="N62" s="8" t="str">
        <f t="shared" ref="N62:N66" si="57">"0149593788"</f>
        <v>0149593788</v>
      </c>
      <c r="O62" s="8" t="str">
        <f t="shared" si="3"/>
        <v>300100052893</v>
      </c>
    </row>
    <row r="63" spans="1:15">
      <c r="A63" s="8" t="str">
        <f t="shared" ref="A63:A66" si="58">"20140822"</f>
        <v>20140822</v>
      </c>
      <c r="B63" s="8" t="str">
        <f t="shared" ref="B63:B66" si="59">"20140822"</f>
        <v>20140822</v>
      </c>
      <c r="C63" s="8" t="str">
        <f t="shared" si="54"/>
        <v>证券卖出</v>
      </c>
      <c r="D63" s="8" t="str">
        <f t="shared" si="51"/>
        <v>601607</v>
      </c>
      <c r="E63" s="8" t="str">
        <f t="shared" si="52"/>
        <v>上海医药</v>
      </c>
      <c r="F63" s="8">
        <v>12.8</v>
      </c>
      <c r="G63" s="8">
        <v>1500</v>
      </c>
      <c r="H63" s="8">
        <v>19200</v>
      </c>
      <c r="I63" s="8">
        <v>19170.3</v>
      </c>
      <c r="J63" s="8">
        <v>29302.76</v>
      </c>
      <c r="K63" s="8">
        <v>3000</v>
      </c>
      <c r="L63" s="8" t="str">
        <f t="shared" si="1"/>
        <v>人民币</v>
      </c>
      <c r="M63" s="8" t="str">
        <f>"1361000933"</f>
        <v>1361000933</v>
      </c>
      <c r="N63" s="8" t="str">
        <f t="shared" si="53"/>
        <v>A368402599</v>
      </c>
      <c r="O63" s="8" t="str">
        <f t="shared" si="3"/>
        <v>300100052893</v>
      </c>
    </row>
    <row r="64" spans="1:15">
      <c r="A64" s="8" t="str">
        <f t="shared" si="58"/>
        <v>20140822</v>
      </c>
      <c r="B64" s="8" t="str">
        <f t="shared" si="59"/>
        <v>20140822</v>
      </c>
      <c r="C64" s="8" t="str">
        <f t="shared" ref="C64:C69" si="60">"证券买入"</f>
        <v>证券买入</v>
      </c>
      <c r="D64" s="8" t="str">
        <f t="shared" si="51"/>
        <v>601607</v>
      </c>
      <c r="E64" s="8" t="str">
        <f t="shared" si="52"/>
        <v>上海医药</v>
      </c>
      <c r="F64" s="8">
        <v>12.87</v>
      </c>
      <c r="G64" s="8">
        <v>1500</v>
      </c>
      <c r="H64" s="8">
        <v>19305</v>
      </c>
      <c r="I64" s="8">
        <v>-19315.55</v>
      </c>
      <c r="J64" s="8">
        <v>9987.21</v>
      </c>
      <c r="K64" s="8">
        <v>4500</v>
      </c>
      <c r="L64" s="8" t="str">
        <f t="shared" si="1"/>
        <v>人民币</v>
      </c>
      <c r="M64" s="8" t="str">
        <f>"1361001260"</f>
        <v>1361001260</v>
      </c>
      <c r="N64" s="8" t="str">
        <f t="shared" si="53"/>
        <v>A368402599</v>
      </c>
      <c r="O64" s="8" t="str">
        <f t="shared" si="3"/>
        <v>300100052893</v>
      </c>
    </row>
    <row r="65" spans="1:15">
      <c r="A65" s="8" t="str">
        <f t="shared" si="58"/>
        <v>20140822</v>
      </c>
      <c r="B65" s="8" t="str">
        <f t="shared" si="59"/>
        <v>20140822</v>
      </c>
      <c r="C65" s="8" t="str">
        <f t="shared" si="54"/>
        <v>证券卖出</v>
      </c>
      <c r="D65" s="8" t="str">
        <f t="shared" si="55"/>
        <v>150182</v>
      </c>
      <c r="E65" s="8" t="str">
        <f t="shared" si="56"/>
        <v>军工B</v>
      </c>
      <c r="F65" s="8">
        <v>1.578</v>
      </c>
      <c r="G65" s="8">
        <v>2500</v>
      </c>
      <c r="H65" s="8">
        <v>3945</v>
      </c>
      <c r="I65" s="8">
        <v>3940</v>
      </c>
      <c r="J65" s="8">
        <v>13927.21</v>
      </c>
      <c r="K65" s="8">
        <v>0</v>
      </c>
      <c r="L65" s="8" t="str">
        <f t="shared" si="1"/>
        <v>人民币</v>
      </c>
      <c r="M65" s="8" t="str">
        <f>"T4001851"</f>
        <v>T4001851</v>
      </c>
      <c r="N65" s="8" t="str">
        <f t="shared" si="57"/>
        <v>0149593788</v>
      </c>
      <c r="O65" s="8" t="str">
        <f t="shared" si="3"/>
        <v>300100052893</v>
      </c>
    </row>
    <row r="66" spans="1:15">
      <c r="A66" s="8" t="str">
        <f t="shared" si="58"/>
        <v>20140822</v>
      </c>
      <c r="B66" s="8" t="str">
        <f t="shared" si="59"/>
        <v>20140822</v>
      </c>
      <c r="C66" s="8" t="str">
        <f t="shared" si="60"/>
        <v>证券买入</v>
      </c>
      <c r="D66" s="8" t="str">
        <f t="shared" si="55"/>
        <v>150182</v>
      </c>
      <c r="E66" s="8" t="str">
        <f t="shared" si="56"/>
        <v>军工B</v>
      </c>
      <c r="F66" s="8">
        <v>1.573</v>
      </c>
      <c r="G66" s="8">
        <v>2500</v>
      </c>
      <c r="H66" s="8">
        <v>3932.5</v>
      </c>
      <c r="I66" s="8">
        <v>-3937.5</v>
      </c>
      <c r="J66" s="8">
        <v>9989.71</v>
      </c>
      <c r="K66" s="8">
        <v>2500</v>
      </c>
      <c r="L66" s="8" t="str">
        <f t="shared" ref="L66:L116" si="61">"人民币"</f>
        <v>人民币</v>
      </c>
      <c r="M66" s="8" t="str">
        <f>"T4002740"</f>
        <v>T4002740</v>
      </c>
      <c r="N66" s="8" t="str">
        <f t="shared" si="57"/>
        <v>0149593788</v>
      </c>
      <c r="O66" s="8" t="str">
        <f t="shared" ref="O66:O116" si="62">"300100052893"</f>
        <v>300100052893</v>
      </c>
    </row>
    <row r="67" spans="1:15">
      <c r="A67" s="8" t="str">
        <f t="shared" ref="A67:A71" si="63">"20140825"</f>
        <v>20140825</v>
      </c>
      <c r="B67" s="8" t="str">
        <f t="shared" ref="B67:B72" si="64">"20140825"</f>
        <v>20140825</v>
      </c>
      <c r="C67" s="8" t="str">
        <f>"证券转银行"</f>
        <v>证券转银行</v>
      </c>
      <c r="F67" s="8">
        <v>0</v>
      </c>
      <c r="G67" s="8">
        <v>0</v>
      </c>
      <c r="H67" s="8">
        <v>0</v>
      </c>
      <c r="I67" s="8">
        <v>-2880</v>
      </c>
      <c r="J67" s="8">
        <v>7109.71</v>
      </c>
      <c r="K67" s="8">
        <v>0</v>
      </c>
      <c r="L67" s="8" t="str">
        <f t="shared" si="61"/>
        <v>人民币</v>
      </c>
      <c r="O67" s="8" t="str">
        <f t="shared" si="62"/>
        <v>300100052893</v>
      </c>
    </row>
    <row r="68" spans="1:15">
      <c r="A68" s="8" t="str">
        <f t="shared" si="63"/>
        <v>20140825</v>
      </c>
      <c r="B68" s="8" t="str">
        <f t="shared" si="64"/>
        <v>20140825</v>
      </c>
      <c r="C68" s="8" t="str">
        <f t="shared" si="60"/>
        <v>证券买入</v>
      </c>
      <c r="D68" s="8" t="str">
        <f t="shared" ref="D68:D73" si="65">"150182"</f>
        <v>150182</v>
      </c>
      <c r="E68" s="8" t="str">
        <f t="shared" ref="E68:E73" si="66">"军工B"</f>
        <v>军工B</v>
      </c>
      <c r="F68" s="8">
        <v>1.571</v>
      </c>
      <c r="G68" s="8">
        <v>2500</v>
      </c>
      <c r="H68" s="8">
        <v>3927.5</v>
      </c>
      <c r="I68" s="8">
        <v>-3932.5</v>
      </c>
      <c r="J68" s="8">
        <v>3177.21</v>
      </c>
      <c r="K68" s="8">
        <v>5000</v>
      </c>
      <c r="L68" s="8" t="str">
        <f t="shared" si="61"/>
        <v>人民币</v>
      </c>
      <c r="M68" s="8" t="str">
        <f>"T4002018"</f>
        <v>T4002018</v>
      </c>
      <c r="N68" s="8" t="str">
        <f t="shared" ref="N68:N70" si="67">"0149593788"</f>
        <v>0149593788</v>
      </c>
      <c r="O68" s="8" t="str">
        <f t="shared" si="62"/>
        <v>300100052893</v>
      </c>
    </row>
    <row r="69" spans="1:15">
      <c r="A69" s="8" t="str">
        <f t="shared" si="63"/>
        <v>20140825</v>
      </c>
      <c r="B69" s="8" t="str">
        <f t="shared" si="64"/>
        <v>20140825</v>
      </c>
      <c r="C69" s="8" t="str">
        <f t="shared" si="60"/>
        <v>证券买入</v>
      </c>
      <c r="D69" s="8" t="str">
        <f t="shared" si="65"/>
        <v>150182</v>
      </c>
      <c r="E69" s="8" t="str">
        <f t="shared" si="66"/>
        <v>军工B</v>
      </c>
      <c r="F69" s="8">
        <v>1.566</v>
      </c>
      <c r="G69" s="8">
        <v>2500</v>
      </c>
      <c r="H69" s="8">
        <v>3915</v>
      </c>
      <c r="I69" s="8">
        <v>-3920</v>
      </c>
      <c r="J69" s="8">
        <v>-742.79</v>
      </c>
      <c r="K69" s="8">
        <v>7500</v>
      </c>
      <c r="L69" s="8" t="str">
        <f t="shared" si="61"/>
        <v>人民币</v>
      </c>
      <c r="M69" s="8" t="str">
        <f>"T4002437"</f>
        <v>T4002437</v>
      </c>
      <c r="N69" s="8" t="str">
        <f t="shared" si="67"/>
        <v>0149593788</v>
      </c>
      <c r="O69" s="8" t="str">
        <f t="shared" si="62"/>
        <v>300100052893</v>
      </c>
    </row>
    <row r="70" spans="1:15">
      <c r="A70" s="8" t="str">
        <f t="shared" si="63"/>
        <v>20140825</v>
      </c>
      <c r="B70" s="8" t="str">
        <f t="shared" si="64"/>
        <v>20140825</v>
      </c>
      <c r="C70" s="8" t="str">
        <f>"证券卖出"</f>
        <v>证券卖出</v>
      </c>
      <c r="D70" s="8" t="str">
        <f>"000868"</f>
        <v>000868</v>
      </c>
      <c r="E70" s="8" t="str">
        <f>"安凯客车"</f>
        <v>安凯客车</v>
      </c>
      <c r="F70" s="8">
        <v>5.38</v>
      </c>
      <c r="G70" s="8">
        <v>2000</v>
      </c>
      <c r="H70" s="8">
        <v>10760</v>
      </c>
      <c r="I70" s="8">
        <v>10743.86</v>
      </c>
      <c r="J70" s="8">
        <v>10001.07</v>
      </c>
      <c r="K70" s="8">
        <v>0</v>
      </c>
      <c r="L70" s="8" t="str">
        <f t="shared" si="61"/>
        <v>人民币</v>
      </c>
      <c r="M70" s="8" t="str">
        <f>"T4002557"</f>
        <v>T4002557</v>
      </c>
      <c r="N70" s="8" t="str">
        <f t="shared" si="67"/>
        <v>0149593788</v>
      </c>
      <c r="O70" s="8" t="str">
        <f t="shared" si="62"/>
        <v>300100052893</v>
      </c>
    </row>
    <row r="71" spans="1:15">
      <c r="A71" s="8" t="str">
        <f t="shared" si="63"/>
        <v>20140825</v>
      </c>
      <c r="B71" s="8" t="str">
        <f t="shared" si="64"/>
        <v>20140825</v>
      </c>
      <c r="C71" s="8" t="str">
        <f t="shared" ref="C71:C76" si="68">"证券买入"</f>
        <v>证券买入</v>
      </c>
      <c r="D71" s="8" t="str">
        <f t="shared" ref="D71:D76" si="69">"511990"</f>
        <v>511990</v>
      </c>
      <c r="E71" s="8" t="str">
        <f t="shared" ref="E71:E76" si="70">"华宝添益"</f>
        <v>华宝添益</v>
      </c>
      <c r="F71" s="8">
        <v>99.984</v>
      </c>
      <c r="G71" s="8">
        <v>100</v>
      </c>
      <c r="H71" s="8">
        <v>9998.4</v>
      </c>
      <c r="I71" s="8">
        <v>-9998.4</v>
      </c>
      <c r="J71" s="8">
        <v>2.67</v>
      </c>
      <c r="K71" s="8">
        <v>100</v>
      </c>
      <c r="L71" s="8" t="str">
        <f t="shared" si="61"/>
        <v>人民币</v>
      </c>
      <c r="M71" s="8" t="str">
        <f>"1361002213"</f>
        <v>1361002213</v>
      </c>
      <c r="N71" s="8" t="str">
        <f t="shared" ref="N71:N83" si="71">"A368402599"</f>
        <v>A368402599</v>
      </c>
      <c r="O71" s="8" t="str">
        <f t="shared" si="62"/>
        <v>300100052893</v>
      </c>
    </row>
    <row r="72" spans="1:15">
      <c r="A72" s="8" t="str">
        <f t="shared" ref="A72:A74" si="72">"20140826"</f>
        <v>20140826</v>
      </c>
      <c r="B72" s="8" t="str">
        <f t="shared" si="64"/>
        <v>20140825</v>
      </c>
      <c r="C72" s="8" t="str">
        <f>"ETF 基金赎回"</f>
        <v>ETF 基金赎回</v>
      </c>
      <c r="D72" s="8" t="str">
        <f>"511991"</f>
        <v>511991</v>
      </c>
      <c r="E72" s="8" t="str">
        <f>"添益申赎"</f>
        <v>添益申赎</v>
      </c>
      <c r="F72" s="8">
        <v>0</v>
      </c>
      <c r="G72" s="8">
        <v>100</v>
      </c>
      <c r="H72" s="8">
        <v>0</v>
      </c>
      <c r="I72" s="8">
        <v>0</v>
      </c>
      <c r="J72" s="8">
        <v>2.67</v>
      </c>
      <c r="K72" s="8">
        <v>0</v>
      </c>
      <c r="L72" s="8" t="str">
        <f t="shared" si="61"/>
        <v>人民币</v>
      </c>
      <c r="M72" s="8" t="str">
        <f>"1361002430"</f>
        <v>1361002430</v>
      </c>
      <c r="N72" s="8" t="str">
        <f t="shared" si="71"/>
        <v>A368402599</v>
      </c>
      <c r="O72" s="8" t="str">
        <f t="shared" si="62"/>
        <v>300100052893</v>
      </c>
    </row>
    <row r="73" spans="1:15">
      <c r="A73" s="8" t="str">
        <f t="shared" si="72"/>
        <v>20140826</v>
      </c>
      <c r="B73" s="8" t="str">
        <f>"20140826"</f>
        <v>20140826</v>
      </c>
      <c r="C73" s="8" t="str">
        <f>"证券卖出"</f>
        <v>证券卖出</v>
      </c>
      <c r="D73" s="8" t="str">
        <f t="shared" si="65"/>
        <v>150182</v>
      </c>
      <c r="E73" s="8" t="str">
        <f t="shared" si="66"/>
        <v>军工B</v>
      </c>
      <c r="F73" s="8">
        <v>1.54</v>
      </c>
      <c r="G73" s="8">
        <v>7500</v>
      </c>
      <c r="H73" s="8">
        <v>11550</v>
      </c>
      <c r="I73" s="8">
        <v>11544.22</v>
      </c>
      <c r="J73" s="8">
        <v>11546.89</v>
      </c>
      <c r="K73" s="8">
        <v>0</v>
      </c>
      <c r="L73" s="8" t="str">
        <f t="shared" si="61"/>
        <v>人民币</v>
      </c>
      <c r="M73" s="8" t="str">
        <f>"T4001696"</f>
        <v>T4001696</v>
      </c>
      <c r="N73" s="8" t="str">
        <f>"0149593788"</f>
        <v>0149593788</v>
      </c>
      <c r="O73" s="8" t="str">
        <f t="shared" si="62"/>
        <v>300100052893</v>
      </c>
    </row>
    <row r="74" spans="1:15">
      <c r="A74" s="8" t="str">
        <f t="shared" si="72"/>
        <v>20140826</v>
      </c>
      <c r="B74" s="8" t="str">
        <f>"20140825"</f>
        <v>20140825</v>
      </c>
      <c r="C74" s="8" t="str">
        <f>"ETF 申购退款"</f>
        <v>ETF 申购退款</v>
      </c>
      <c r="D74" s="8" t="str">
        <f t="shared" si="69"/>
        <v>511990</v>
      </c>
      <c r="E74" s="8" t="str">
        <f t="shared" si="70"/>
        <v>华宝添益</v>
      </c>
      <c r="F74" s="8">
        <v>0</v>
      </c>
      <c r="G74" s="8">
        <v>0</v>
      </c>
      <c r="H74" s="8">
        <v>10001</v>
      </c>
      <c r="I74" s="8">
        <v>10001</v>
      </c>
      <c r="J74" s="8">
        <v>21547.89</v>
      </c>
      <c r="K74" s="8">
        <v>0</v>
      </c>
      <c r="L74" s="8" t="str">
        <f t="shared" si="61"/>
        <v>人民币</v>
      </c>
      <c r="N74" s="8" t="str">
        <f t="shared" si="71"/>
        <v>A368402599</v>
      </c>
      <c r="O74" s="8" t="str">
        <f t="shared" si="62"/>
        <v>300100052893</v>
      </c>
    </row>
    <row r="75" spans="1:15">
      <c r="A75" s="8" t="str">
        <f>"20140827"</f>
        <v>20140827</v>
      </c>
      <c r="B75" s="8" t="str">
        <f t="shared" ref="B75:B79" si="73">"20140827"</f>
        <v>20140827</v>
      </c>
      <c r="C75" s="8" t="str">
        <f t="shared" si="68"/>
        <v>证券买入</v>
      </c>
      <c r="D75" s="8" t="str">
        <f t="shared" si="69"/>
        <v>511990</v>
      </c>
      <c r="E75" s="8" t="str">
        <f t="shared" si="70"/>
        <v>华宝添益</v>
      </c>
      <c r="F75" s="8">
        <v>99.964</v>
      </c>
      <c r="G75" s="8">
        <v>100</v>
      </c>
      <c r="H75" s="8">
        <v>9996.4</v>
      </c>
      <c r="I75" s="8">
        <v>-9996.4</v>
      </c>
      <c r="J75" s="8">
        <v>11551.49</v>
      </c>
      <c r="K75" s="8">
        <v>100</v>
      </c>
      <c r="L75" s="8" t="str">
        <f t="shared" si="61"/>
        <v>人民币</v>
      </c>
      <c r="M75" s="8" t="str">
        <f>"1361000660"</f>
        <v>1361000660</v>
      </c>
      <c r="N75" s="8" t="str">
        <f t="shared" si="71"/>
        <v>A368402599</v>
      </c>
      <c r="O75" s="8" t="str">
        <f t="shared" si="62"/>
        <v>300100052893</v>
      </c>
    </row>
    <row r="76" spans="1:15">
      <c r="A76" s="8" t="str">
        <f>"20140827"</f>
        <v>20140827</v>
      </c>
      <c r="B76" s="8" t="str">
        <f t="shared" si="73"/>
        <v>20140827</v>
      </c>
      <c r="C76" s="8" t="str">
        <f t="shared" si="68"/>
        <v>证券买入</v>
      </c>
      <c r="D76" s="8" t="str">
        <f t="shared" si="69"/>
        <v>511990</v>
      </c>
      <c r="E76" s="8" t="str">
        <f t="shared" si="70"/>
        <v>华宝添益</v>
      </c>
      <c r="F76" s="8">
        <v>99.952</v>
      </c>
      <c r="G76" s="8">
        <v>100</v>
      </c>
      <c r="H76" s="8">
        <v>9995.2</v>
      </c>
      <c r="I76" s="8">
        <v>-9995.2</v>
      </c>
      <c r="J76" s="8">
        <v>1556.29</v>
      </c>
      <c r="K76" s="8">
        <v>200</v>
      </c>
      <c r="L76" s="8" t="str">
        <f t="shared" si="61"/>
        <v>人民币</v>
      </c>
      <c r="M76" s="8" t="str">
        <f>"1361002085"</f>
        <v>1361002085</v>
      </c>
      <c r="N76" s="8" t="str">
        <f t="shared" si="71"/>
        <v>A368402599</v>
      </c>
      <c r="O76" s="8" t="str">
        <f t="shared" si="62"/>
        <v>300100052893</v>
      </c>
    </row>
    <row r="77" spans="1:15">
      <c r="A77" s="8" t="str">
        <f t="shared" ref="A77:A79" si="74">"20140828"</f>
        <v>20140828</v>
      </c>
      <c r="B77" s="8" t="str">
        <f t="shared" si="73"/>
        <v>20140827</v>
      </c>
      <c r="C77" s="8" t="str">
        <f>"ETF 基金赎回"</f>
        <v>ETF 基金赎回</v>
      </c>
      <c r="D77" s="8" t="str">
        <f>"511991"</f>
        <v>511991</v>
      </c>
      <c r="E77" s="8" t="str">
        <f>"添益申赎"</f>
        <v>添益申赎</v>
      </c>
      <c r="F77" s="8">
        <v>0</v>
      </c>
      <c r="G77" s="8">
        <v>100</v>
      </c>
      <c r="H77" s="8">
        <v>0</v>
      </c>
      <c r="I77" s="8">
        <v>0</v>
      </c>
      <c r="J77" s="8">
        <v>1556.29</v>
      </c>
      <c r="K77" s="8">
        <v>0</v>
      </c>
      <c r="L77" s="8" t="str">
        <f t="shared" si="61"/>
        <v>人民币</v>
      </c>
      <c r="M77" s="8" t="str">
        <f>"1361000799"</f>
        <v>1361000799</v>
      </c>
      <c r="N77" s="8" t="str">
        <f t="shared" si="71"/>
        <v>A368402599</v>
      </c>
      <c r="O77" s="8" t="str">
        <f t="shared" si="62"/>
        <v>300100052893</v>
      </c>
    </row>
    <row r="78" spans="1:15">
      <c r="A78" s="8" t="str">
        <f t="shared" si="74"/>
        <v>20140828</v>
      </c>
      <c r="B78" s="8" t="str">
        <f t="shared" si="73"/>
        <v>20140827</v>
      </c>
      <c r="C78" s="8" t="str">
        <f>"ETF 基金赎回"</f>
        <v>ETF 基金赎回</v>
      </c>
      <c r="D78" s="8" t="str">
        <f>"511991"</f>
        <v>511991</v>
      </c>
      <c r="E78" s="8" t="str">
        <f>"添益申赎"</f>
        <v>添益申赎</v>
      </c>
      <c r="F78" s="8">
        <v>0</v>
      </c>
      <c r="G78" s="8">
        <v>100</v>
      </c>
      <c r="H78" s="8">
        <v>0</v>
      </c>
      <c r="I78" s="8">
        <v>0</v>
      </c>
      <c r="J78" s="8">
        <v>1556.29</v>
      </c>
      <c r="K78" s="8">
        <v>0</v>
      </c>
      <c r="L78" s="8" t="str">
        <f t="shared" si="61"/>
        <v>人民币</v>
      </c>
      <c r="M78" s="8" t="str">
        <f>"1361002092"</f>
        <v>1361002092</v>
      </c>
      <c r="N78" s="8" t="str">
        <f t="shared" si="71"/>
        <v>A368402599</v>
      </c>
      <c r="O78" s="8" t="str">
        <f t="shared" si="62"/>
        <v>300100052893</v>
      </c>
    </row>
    <row r="79" spans="1:15">
      <c r="A79" s="8" t="str">
        <f t="shared" si="74"/>
        <v>20140828</v>
      </c>
      <c r="B79" s="8" t="str">
        <f t="shared" si="73"/>
        <v>20140827</v>
      </c>
      <c r="C79" s="8" t="str">
        <f>"ETF 申购退款"</f>
        <v>ETF 申购退款</v>
      </c>
      <c r="D79" s="8" t="str">
        <f t="shared" ref="D79:D81" si="75">"511990"</f>
        <v>511990</v>
      </c>
      <c r="E79" s="8" t="str">
        <f t="shared" ref="E79:E81" si="76">"华宝添益"</f>
        <v>华宝添益</v>
      </c>
      <c r="F79" s="8">
        <v>0</v>
      </c>
      <c r="G79" s="8">
        <v>0</v>
      </c>
      <c r="H79" s="8">
        <v>20002.09</v>
      </c>
      <c r="I79" s="8">
        <v>20002.09</v>
      </c>
      <c r="J79" s="8">
        <v>21558.38</v>
      </c>
      <c r="K79" s="8">
        <v>0</v>
      </c>
      <c r="L79" s="8" t="str">
        <f t="shared" si="61"/>
        <v>人民币</v>
      </c>
      <c r="N79" s="8" t="str">
        <f t="shared" si="71"/>
        <v>A368402599</v>
      </c>
      <c r="O79" s="8" t="str">
        <f t="shared" si="62"/>
        <v>300100052893</v>
      </c>
    </row>
    <row r="80" spans="1:15">
      <c r="A80" s="8" t="str">
        <f>"20140829"</f>
        <v>20140829</v>
      </c>
      <c r="B80" s="8" t="str">
        <f>"20140829"</f>
        <v>20140829</v>
      </c>
      <c r="C80" s="8" t="str">
        <f>"证券买入"</f>
        <v>证券买入</v>
      </c>
      <c r="D80" s="8" t="str">
        <f t="shared" si="75"/>
        <v>511990</v>
      </c>
      <c r="E80" s="8" t="str">
        <f t="shared" si="76"/>
        <v>华宝添益</v>
      </c>
      <c r="F80" s="8">
        <v>99.969</v>
      </c>
      <c r="G80" s="8">
        <v>200</v>
      </c>
      <c r="H80" s="8">
        <v>19993.7</v>
      </c>
      <c r="I80" s="8">
        <v>-19993.7</v>
      </c>
      <c r="J80" s="8">
        <v>1564.68</v>
      </c>
      <c r="K80" s="8">
        <v>200</v>
      </c>
      <c r="L80" s="8" t="str">
        <f t="shared" si="61"/>
        <v>人民币</v>
      </c>
      <c r="M80" s="8" t="str">
        <f>"1361002738"</f>
        <v>1361002738</v>
      </c>
      <c r="N80" s="8" t="str">
        <f t="shared" si="71"/>
        <v>A368402599</v>
      </c>
      <c r="O80" s="8" t="str">
        <f t="shared" si="62"/>
        <v>300100052893</v>
      </c>
    </row>
    <row r="81" spans="1:15">
      <c r="A81" s="8" t="str">
        <f>"20140902"</f>
        <v>20140902</v>
      </c>
      <c r="B81" s="8" t="str">
        <f t="shared" ref="B81:B83" si="77">"20140902"</f>
        <v>20140902</v>
      </c>
      <c r="C81" s="8" t="str">
        <f t="shared" ref="C81:C85" si="78">"证券卖出"</f>
        <v>证券卖出</v>
      </c>
      <c r="D81" s="8" t="str">
        <f t="shared" si="75"/>
        <v>511990</v>
      </c>
      <c r="E81" s="8" t="str">
        <f t="shared" si="76"/>
        <v>华宝添益</v>
      </c>
      <c r="F81" s="8">
        <v>100.014</v>
      </c>
      <c r="G81" s="8">
        <v>200</v>
      </c>
      <c r="H81" s="8">
        <v>20002.8</v>
      </c>
      <c r="I81" s="8">
        <v>20002.8</v>
      </c>
      <c r="J81" s="8">
        <v>21567.48</v>
      </c>
      <c r="K81" s="8">
        <v>0</v>
      </c>
      <c r="L81" s="8" t="str">
        <f t="shared" si="61"/>
        <v>人民币</v>
      </c>
      <c r="M81" s="8" t="str">
        <f>"1361000560"</f>
        <v>1361000560</v>
      </c>
      <c r="N81" s="8" t="str">
        <f t="shared" si="71"/>
        <v>A368402599</v>
      </c>
      <c r="O81" s="8" t="str">
        <f t="shared" si="62"/>
        <v>300100052893</v>
      </c>
    </row>
    <row r="82" spans="1:15">
      <c r="A82" s="8" t="str">
        <f>"20140902"</f>
        <v>20140902</v>
      </c>
      <c r="B82" s="8" t="str">
        <f t="shared" si="77"/>
        <v>20140902</v>
      </c>
      <c r="C82" s="8" t="str">
        <f t="shared" ref="C82:C87" si="79">"证券买入"</f>
        <v>证券买入</v>
      </c>
      <c r="D82" s="8" t="str">
        <f>"601166"</f>
        <v>601166</v>
      </c>
      <c r="E82" s="8" t="str">
        <f>"兴业银行"</f>
        <v>兴业银行</v>
      </c>
      <c r="F82" s="8">
        <v>10.46</v>
      </c>
      <c r="G82" s="8">
        <v>500</v>
      </c>
      <c r="H82" s="8">
        <v>5230</v>
      </c>
      <c r="I82" s="8">
        <v>-5235.3</v>
      </c>
      <c r="J82" s="8">
        <v>16332.18</v>
      </c>
      <c r="K82" s="8">
        <v>500</v>
      </c>
      <c r="L82" s="8" t="str">
        <f t="shared" si="61"/>
        <v>人民币</v>
      </c>
      <c r="M82" s="8" t="str">
        <f>"1361004803"</f>
        <v>1361004803</v>
      </c>
      <c r="N82" s="8" t="str">
        <f t="shared" si="71"/>
        <v>A368402599</v>
      </c>
      <c r="O82" s="8" t="str">
        <f t="shared" si="62"/>
        <v>300100052893</v>
      </c>
    </row>
    <row r="83" spans="1:15">
      <c r="A83" s="8" t="str">
        <f t="shared" ref="A83:A87" si="80">"20140903"</f>
        <v>20140903</v>
      </c>
      <c r="B83" s="8" t="str">
        <f t="shared" si="77"/>
        <v>20140902</v>
      </c>
      <c r="C83" s="8" t="str">
        <f>"ETF 申购退款"</f>
        <v>ETF 申购退款</v>
      </c>
      <c r="D83" s="8" t="str">
        <f>"511990"</f>
        <v>511990</v>
      </c>
      <c r="E83" s="8" t="str">
        <f>"华宝添益"</f>
        <v>华宝添益</v>
      </c>
      <c r="F83" s="8">
        <v>0</v>
      </c>
      <c r="G83" s="8">
        <v>0</v>
      </c>
      <c r="H83" s="8">
        <v>8.3</v>
      </c>
      <c r="I83" s="8">
        <v>8.3</v>
      </c>
      <c r="J83" s="8">
        <v>16340.48</v>
      </c>
      <c r="K83" s="8">
        <v>0</v>
      </c>
      <c r="L83" s="8" t="str">
        <f t="shared" si="61"/>
        <v>人民币</v>
      </c>
      <c r="N83" s="8" t="str">
        <f t="shared" si="71"/>
        <v>A368402599</v>
      </c>
      <c r="O83" s="8" t="str">
        <f t="shared" si="62"/>
        <v>300100052893</v>
      </c>
    </row>
    <row r="84" spans="1:15">
      <c r="A84" s="8" t="str">
        <f t="shared" si="80"/>
        <v>20140903</v>
      </c>
      <c r="B84" s="8" t="str">
        <f t="shared" ref="B84:B87" si="81">"20140903"</f>
        <v>20140903</v>
      </c>
      <c r="C84" s="8" t="str">
        <f t="shared" si="78"/>
        <v>证券卖出</v>
      </c>
      <c r="D84" s="8" t="str">
        <f t="shared" ref="D84:D86" si="82">"000606"</f>
        <v>000606</v>
      </c>
      <c r="E84" s="8" t="str">
        <f t="shared" ref="E84:E86" si="83">"青海明胶"</f>
        <v>青海明胶</v>
      </c>
      <c r="F84" s="8">
        <v>6.9</v>
      </c>
      <c r="G84" s="8">
        <v>500</v>
      </c>
      <c r="H84" s="8">
        <v>3450</v>
      </c>
      <c r="I84" s="8">
        <v>3441.55</v>
      </c>
      <c r="J84" s="8">
        <v>19782.03</v>
      </c>
      <c r="K84" s="8">
        <v>1500</v>
      </c>
      <c r="L84" s="8" t="str">
        <f t="shared" si="61"/>
        <v>人民币</v>
      </c>
      <c r="M84" s="8" t="str">
        <f>"T4000565"</f>
        <v>T4000565</v>
      </c>
      <c r="N84" s="8" t="str">
        <f t="shared" ref="N84:N86" si="84">"0149593788"</f>
        <v>0149593788</v>
      </c>
      <c r="O84" s="8" t="str">
        <f t="shared" si="62"/>
        <v>300100052893</v>
      </c>
    </row>
    <row r="85" spans="1:15">
      <c r="A85" s="8" t="str">
        <f t="shared" si="80"/>
        <v>20140903</v>
      </c>
      <c r="B85" s="8" t="str">
        <f t="shared" si="81"/>
        <v>20140903</v>
      </c>
      <c r="C85" s="8" t="str">
        <f t="shared" si="78"/>
        <v>证券卖出</v>
      </c>
      <c r="D85" s="8" t="str">
        <f t="shared" si="82"/>
        <v>000606</v>
      </c>
      <c r="E85" s="8" t="str">
        <f t="shared" si="83"/>
        <v>青海明胶</v>
      </c>
      <c r="F85" s="8">
        <v>6.86</v>
      </c>
      <c r="G85" s="8">
        <v>500</v>
      </c>
      <c r="H85" s="8">
        <v>3430</v>
      </c>
      <c r="I85" s="8">
        <v>3421.57</v>
      </c>
      <c r="J85" s="8">
        <v>23203.6</v>
      </c>
      <c r="K85" s="8">
        <v>1000</v>
      </c>
      <c r="L85" s="8" t="str">
        <f t="shared" si="61"/>
        <v>人民币</v>
      </c>
      <c r="M85" s="8" t="str">
        <f>"T4000603"</f>
        <v>T4000603</v>
      </c>
      <c r="N85" s="8" t="str">
        <f t="shared" si="84"/>
        <v>0149593788</v>
      </c>
      <c r="O85" s="8" t="str">
        <f t="shared" si="62"/>
        <v>300100052893</v>
      </c>
    </row>
    <row r="86" spans="1:15">
      <c r="A86" s="8" t="str">
        <f t="shared" si="80"/>
        <v>20140903</v>
      </c>
      <c r="B86" s="8" t="str">
        <f t="shared" si="81"/>
        <v>20140903</v>
      </c>
      <c r="C86" s="8" t="str">
        <f t="shared" si="79"/>
        <v>证券买入</v>
      </c>
      <c r="D86" s="8" t="str">
        <f t="shared" si="82"/>
        <v>000606</v>
      </c>
      <c r="E86" s="8" t="str">
        <f t="shared" si="83"/>
        <v>青海明胶</v>
      </c>
      <c r="F86" s="8">
        <v>6.71</v>
      </c>
      <c r="G86" s="8">
        <v>500</v>
      </c>
      <c r="H86" s="8">
        <v>3355</v>
      </c>
      <c r="I86" s="8">
        <v>-3360</v>
      </c>
      <c r="J86" s="8">
        <v>19843.6</v>
      </c>
      <c r="K86" s="8">
        <v>1500</v>
      </c>
      <c r="L86" s="8" t="str">
        <f t="shared" si="61"/>
        <v>人民币</v>
      </c>
      <c r="M86" s="8" t="str">
        <f>"T4000988"</f>
        <v>T4000988</v>
      </c>
      <c r="N86" s="8" t="str">
        <f t="shared" si="84"/>
        <v>0149593788</v>
      </c>
      <c r="O86" s="8" t="str">
        <f t="shared" si="62"/>
        <v>300100052893</v>
      </c>
    </row>
    <row r="87" spans="1:15">
      <c r="A87" s="8" t="str">
        <f t="shared" si="80"/>
        <v>20140903</v>
      </c>
      <c r="B87" s="8" t="str">
        <f t="shared" si="81"/>
        <v>20140903</v>
      </c>
      <c r="C87" s="8" t="str">
        <f t="shared" si="79"/>
        <v>证券买入</v>
      </c>
      <c r="D87" s="8" t="str">
        <f>"601166"</f>
        <v>601166</v>
      </c>
      <c r="E87" s="8" t="str">
        <f>"兴业银行"</f>
        <v>兴业银行</v>
      </c>
      <c r="F87" s="8">
        <v>10.56</v>
      </c>
      <c r="G87" s="8">
        <v>1800</v>
      </c>
      <c r="H87" s="8">
        <v>19008</v>
      </c>
      <c r="I87" s="8">
        <v>-19018.58</v>
      </c>
      <c r="J87" s="8">
        <v>825.02</v>
      </c>
      <c r="K87" s="8">
        <v>2300</v>
      </c>
      <c r="L87" s="8" t="str">
        <f t="shared" si="61"/>
        <v>人民币</v>
      </c>
      <c r="M87" s="8" t="str">
        <f>"1361001190"</f>
        <v>1361001190</v>
      </c>
      <c r="N87" s="8" t="str">
        <f>"A368402599"</f>
        <v>A368402599</v>
      </c>
      <c r="O87" s="8" t="str">
        <f t="shared" si="62"/>
        <v>300100052893</v>
      </c>
    </row>
    <row r="88" spans="1:15">
      <c r="A88" s="8" t="str">
        <f>"20140904"</f>
        <v>20140904</v>
      </c>
      <c r="B88" s="8" t="str">
        <f>"0"</f>
        <v>0</v>
      </c>
      <c r="C88" s="8" t="str">
        <f>"股息红利差异扣税"</f>
        <v>股息红利差异扣税</v>
      </c>
      <c r="D88" s="8" t="str">
        <f>"000606"</f>
        <v>000606</v>
      </c>
      <c r="E88" s="8" t="str">
        <f>"青海明胶"</f>
        <v>青海明胶</v>
      </c>
      <c r="F88" s="8">
        <v>0</v>
      </c>
      <c r="G88" s="8">
        <v>0</v>
      </c>
      <c r="H88" s="8">
        <v>0</v>
      </c>
      <c r="I88" s="8">
        <v>-0.1</v>
      </c>
      <c r="J88" s="8">
        <v>824.92</v>
      </c>
      <c r="K88" s="8">
        <v>0</v>
      </c>
      <c r="L88" s="8" t="str">
        <f t="shared" si="61"/>
        <v>人民币</v>
      </c>
      <c r="N88" s="8" t="str">
        <f t="shared" ref="N88:N92" si="85">"0149593788"</f>
        <v>0149593788</v>
      </c>
      <c r="O88" s="8" t="str">
        <f t="shared" si="62"/>
        <v>300100052893</v>
      </c>
    </row>
    <row r="89" spans="1:15">
      <c r="A89" s="8" t="str">
        <f>"20140904"</f>
        <v>20140904</v>
      </c>
      <c r="B89" s="8" t="str">
        <f>"20140904"</f>
        <v>20140904</v>
      </c>
      <c r="C89" s="8" t="str">
        <f t="shared" ref="C89:C95" si="86">"证券买入"</f>
        <v>证券买入</v>
      </c>
      <c r="D89" s="8" t="str">
        <f t="shared" ref="D89:D92" si="87">"150182"</f>
        <v>150182</v>
      </c>
      <c r="E89" s="8" t="str">
        <f t="shared" ref="E89:E92" si="88">"军工B"</f>
        <v>军工B</v>
      </c>
      <c r="F89" s="8">
        <v>1.964</v>
      </c>
      <c r="G89" s="8">
        <v>400</v>
      </c>
      <c r="H89" s="8">
        <v>785.6</v>
      </c>
      <c r="I89" s="8">
        <v>-790.6</v>
      </c>
      <c r="J89" s="8">
        <v>34.32</v>
      </c>
      <c r="K89" s="8">
        <v>400</v>
      </c>
      <c r="L89" s="8" t="str">
        <f t="shared" si="61"/>
        <v>人民币</v>
      </c>
      <c r="M89" s="8" t="str">
        <f>"T4001883"</f>
        <v>T4001883</v>
      </c>
      <c r="N89" s="8" t="str">
        <f t="shared" si="85"/>
        <v>0149593788</v>
      </c>
      <c r="O89" s="8" t="str">
        <f t="shared" si="62"/>
        <v>300100052893</v>
      </c>
    </row>
    <row r="90" spans="1:15">
      <c r="A90" s="8" t="str">
        <f>"20140905"</f>
        <v>20140905</v>
      </c>
      <c r="B90" s="8" t="str">
        <f>"20140905"</f>
        <v>20140905</v>
      </c>
      <c r="C90" s="8" t="str">
        <f t="shared" ref="C90:C93" si="89">"证券卖出"</f>
        <v>证券卖出</v>
      </c>
      <c r="D90" s="8" t="str">
        <f>"601166"</f>
        <v>601166</v>
      </c>
      <c r="E90" s="8" t="str">
        <f>"兴业银行"</f>
        <v>兴业银行</v>
      </c>
      <c r="F90" s="8">
        <v>10.59</v>
      </c>
      <c r="G90" s="8">
        <v>500</v>
      </c>
      <c r="H90" s="8">
        <v>5295</v>
      </c>
      <c r="I90" s="8">
        <v>5284.4</v>
      </c>
      <c r="J90" s="8">
        <v>5318.72</v>
      </c>
      <c r="K90" s="8">
        <v>1800</v>
      </c>
      <c r="L90" s="8" t="str">
        <f t="shared" si="61"/>
        <v>人民币</v>
      </c>
      <c r="M90" s="8" t="str">
        <f>"1361004188"</f>
        <v>1361004188</v>
      </c>
      <c r="N90" s="8" t="str">
        <f>"A368402599"</f>
        <v>A368402599</v>
      </c>
      <c r="O90" s="8" t="str">
        <f t="shared" si="62"/>
        <v>300100052893</v>
      </c>
    </row>
    <row r="91" spans="1:15">
      <c r="A91" s="8" t="str">
        <f>"20140905"</f>
        <v>20140905</v>
      </c>
      <c r="B91" s="8" t="str">
        <f>"20140905"</f>
        <v>20140905</v>
      </c>
      <c r="C91" s="8" t="str">
        <f t="shared" si="86"/>
        <v>证券买入</v>
      </c>
      <c r="D91" s="8" t="str">
        <f t="shared" si="87"/>
        <v>150182</v>
      </c>
      <c r="E91" s="8" t="str">
        <f t="shared" si="88"/>
        <v>军工B</v>
      </c>
      <c r="F91" s="8">
        <v>1.897</v>
      </c>
      <c r="G91" s="8">
        <v>2700</v>
      </c>
      <c r="H91" s="8">
        <v>5121.9</v>
      </c>
      <c r="I91" s="8">
        <v>-5126.9</v>
      </c>
      <c r="J91" s="8">
        <v>191.82</v>
      </c>
      <c r="K91" s="8">
        <v>3100</v>
      </c>
      <c r="L91" s="8" t="str">
        <f t="shared" si="61"/>
        <v>人民币</v>
      </c>
      <c r="M91" s="8" t="str">
        <f>"T4004919"</f>
        <v>T4004919</v>
      </c>
      <c r="N91" s="8" t="str">
        <f t="shared" si="85"/>
        <v>0149593788</v>
      </c>
      <c r="O91" s="8" t="str">
        <f t="shared" si="62"/>
        <v>300100052893</v>
      </c>
    </row>
    <row r="92" spans="1:15">
      <c r="A92" s="8" t="str">
        <f>"20140915"</f>
        <v>20140915</v>
      </c>
      <c r="B92" s="8" t="str">
        <f>"20140915"</f>
        <v>20140915</v>
      </c>
      <c r="C92" s="8" t="str">
        <f t="shared" si="89"/>
        <v>证券卖出</v>
      </c>
      <c r="D92" s="8" t="str">
        <f t="shared" si="87"/>
        <v>150182</v>
      </c>
      <c r="E92" s="8" t="str">
        <f t="shared" si="88"/>
        <v>军工B</v>
      </c>
      <c r="F92" s="8">
        <v>1.97</v>
      </c>
      <c r="G92" s="8">
        <v>3100</v>
      </c>
      <c r="H92" s="8">
        <v>6107</v>
      </c>
      <c r="I92" s="8">
        <v>6102</v>
      </c>
      <c r="J92" s="8">
        <v>6293.82</v>
      </c>
      <c r="K92" s="8">
        <v>0</v>
      </c>
      <c r="L92" s="8" t="str">
        <f t="shared" si="61"/>
        <v>人民币</v>
      </c>
      <c r="M92" s="8" t="str">
        <f>"T4005578"</f>
        <v>T4005578</v>
      </c>
      <c r="N92" s="8" t="str">
        <f t="shared" si="85"/>
        <v>0149593788</v>
      </c>
      <c r="O92" s="8" t="str">
        <f t="shared" si="62"/>
        <v>300100052893</v>
      </c>
    </row>
    <row r="93" spans="1:15">
      <c r="A93" s="8" t="str">
        <f>"20140916"</f>
        <v>20140916</v>
      </c>
      <c r="B93" s="8" t="str">
        <f>"20140916"</f>
        <v>20140916</v>
      </c>
      <c r="C93" s="8" t="str">
        <f t="shared" si="89"/>
        <v>证券卖出</v>
      </c>
      <c r="D93" s="8" t="str">
        <f>"601166"</f>
        <v>601166</v>
      </c>
      <c r="E93" s="8" t="str">
        <f>"兴业银行"</f>
        <v>兴业银行</v>
      </c>
      <c r="F93" s="8">
        <v>10.29</v>
      </c>
      <c r="G93" s="8">
        <v>1000</v>
      </c>
      <c r="H93" s="8">
        <v>10290</v>
      </c>
      <c r="I93" s="8">
        <v>10273.96</v>
      </c>
      <c r="J93" s="8">
        <v>16567.78</v>
      </c>
      <c r="K93" s="8">
        <v>800</v>
      </c>
      <c r="L93" s="8" t="str">
        <f t="shared" si="61"/>
        <v>人民币</v>
      </c>
      <c r="M93" s="8" t="str">
        <f>"1361000944"</f>
        <v>1361000944</v>
      </c>
      <c r="N93" s="8" t="str">
        <f>"A368402599"</f>
        <v>A368402599</v>
      </c>
      <c r="O93" s="8" t="str">
        <f t="shared" si="62"/>
        <v>300100052893</v>
      </c>
    </row>
    <row r="94" spans="1:15">
      <c r="A94" s="8" t="str">
        <f>"20140916"</f>
        <v>20140916</v>
      </c>
      <c r="B94" s="8" t="str">
        <f>"20140916"</f>
        <v>20140916</v>
      </c>
      <c r="C94" s="8" t="str">
        <f t="shared" si="86"/>
        <v>证券买入</v>
      </c>
      <c r="D94" s="8" t="str">
        <f t="shared" ref="D94:D96" si="90">"150182"</f>
        <v>150182</v>
      </c>
      <c r="E94" s="8" t="str">
        <f t="shared" ref="E94:E96" si="91">"军工B"</f>
        <v>军工B</v>
      </c>
      <c r="F94" s="8">
        <v>1.941</v>
      </c>
      <c r="G94" s="8">
        <v>2500</v>
      </c>
      <c r="H94" s="8">
        <v>4852.5</v>
      </c>
      <c r="I94" s="8">
        <v>-4857.5</v>
      </c>
      <c r="J94" s="8">
        <v>11710.28</v>
      </c>
      <c r="K94" s="8">
        <v>2500</v>
      </c>
      <c r="L94" s="8" t="str">
        <f t="shared" si="61"/>
        <v>人民币</v>
      </c>
      <c r="M94" s="8" t="str">
        <f>"T4001936"</f>
        <v>T4001936</v>
      </c>
      <c r="N94" s="8" t="str">
        <f t="shared" ref="N94:N96" si="92">"0149593788"</f>
        <v>0149593788</v>
      </c>
      <c r="O94" s="8" t="str">
        <f t="shared" si="62"/>
        <v>300100052893</v>
      </c>
    </row>
    <row r="95" spans="1:15">
      <c r="A95" s="8" t="str">
        <f t="shared" ref="A95:A98" si="93">"20140917"</f>
        <v>20140917</v>
      </c>
      <c r="B95" s="8" t="str">
        <f t="shared" ref="B95:B98" si="94">"20140917"</f>
        <v>20140917</v>
      </c>
      <c r="C95" s="8" t="str">
        <f t="shared" si="86"/>
        <v>证券买入</v>
      </c>
      <c r="D95" s="8" t="str">
        <f t="shared" si="90"/>
        <v>150182</v>
      </c>
      <c r="E95" s="8" t="str">
        <f t="shared" si="91"/>
        <v>军工B</v>
      </c>
      <c r="F95" s="8">
        <v>1.832</v>
      </c>
      <c r="G95" s="8">
        <v>2500</v>
      </c>
      <c r="H95" s="8">
        <v>4580</v>
      </c>
      <c r="I95" s="8">
        <v>-4585</v>
      </c>
      <c r="J95" s="8">
        <v>7125.28</v>
      </c>
      <c r="K95" s="8">
        <v>5000</v>
      </c>
      <c r="L95" s="8" t="str">
        <f t="shared" si="61"/>
        <v>人民币</v>
      </c>
      <c r="M95" s="8" t="str">
        <f>"T4001510"</f>
        <v>T4001510</v>
      </c>
      <c r="N95" s="8" t="str">
        <f t="shared" si="92"/>
        <v>0149593788</v>
      </c>
      <c r="O95" s="8" t="str">
        <f t="shared" si="62"/>
        <v>300100052893</v>
      </c>
    </row>
    <row r="96" spans="1:15">
      <c r="A96" s="8" t="str">
        <f t="shared" si="93"/>
        <v>20140917</v>
      </c>
      <c r="B96" s="8" t="str">
        <f t="shared" si="94"/>
        <v>20140917</v>
      </c>
      <c r="C96" s="8" t="str">
        <f t="shared" ref="C96:C99" si="95">"证券卖出"</f>
        <v>证券卖出</v>
      </c>
      <c r="D96" s="8" t="str">
        <f t="shared" si="90"/>
        <v>150182</v>
      </c>
      <c r="E96" s="8" t="str">
        <f t="shared" si="91"/>
        <v>军工B</v>
      </c>
      <c r="F96" s="8">
        <v>1.853</v>
      </c>
      <c r="G96" s="8">
        <v>2500</v>
      </c>
      <c r="H96" s="8">
        <v>4632.5</v>
      </c>
      <c r="I96" s="8">
        <v>4627.5</v>
      </c>
      <c r="J96" s="8">
        <v>11752.78</v>
      </c>
      <c r="K96" s="8">
        <v>2500</v>
      </c>
      <c r="L96" s="8" t="str">
        <f t="shared" si="61"/>
        <v>人民币</v>
      </c>
      <c r="M96" s="8" t="str">
        <f>"T4002991"</f>
        <v>T4002991</v>
      </c>
      <c r="N96" s="8" t="str">
        <f t="shared" si="92"/>
        <v>0149593788</v>
      </c>
      <c r="O96" s="8" t="str">
        <f t="shared" si="62"/>
        <v>300100052893</v>
      </c>
    </row>
    <row r="97" spans="1:15">
      <c r="A97" s="8" t="str">
        <f t="shared" si="93"/>
        <v>20140917</v>
      </c>
      <c r="B97" s="8" t="str">
        <f t="shared" si="94"/>
        <v>20140917</v>
      </c>
      <c r="C97" s="8" t="str">
        <f t="shared" si="95"/>
        <v>证券卖出</v>
      </c>
      <c r="D97" s="8" t="str">
        <f>"601607"</f>
        <v>601607</v>
      </c>
      <c r="E97" s="8" t="str">
        <f>"上海医药"</f>
        <v>上海医药</v>
      </c>
      <c r="F97" s="8">
        <v>13.94</v>
      </c>
      <c r="G97" s="8">
        <v>1000</v>
      </c>
      <c r="H97" s="8">
        <v>13940</v>
      </c>
      <c r="I97" s="8">
        <v>13918.49</v>
      </c>
      <c r="J97" s="8">
        <v>25671.27</v>
      </c>
      <c r="K97" s="8">
        <v>3500</v>
      </c>
      <c r="L97" s="8" t="str">
        <f t="shared" si="61"/>
        <v>人民币</v>
      </c>
      <c r="M97" s="8" t="str">
        <f>"1361002855"</f>
        <v>1361002855</v>
      </c>
      <c r="N97" s="8" t="str">
        <f>"A368402599"</f>
        <v>A368402599</v>
      </c>
      <c r="O97" s="8" t="str">
        <f t="shared" si="62"/>
        <v>300100052893</v>
      </c>
    </row>
    <row r="98" spans="1:15">
      <c r="A98" s="8" t="str">
        <f t="shared" si="93"/>
        <v>20140917</v>
      </c>
      <c r="B98" s="8" t="str">
        <f t="shared" si="94"/>
        <v>20140917</v>
      </c>
      <c r="C98" s="8" t="str">
        <f t="shared" ref="C98:C102" si="96">"证券买入"</f>
        <v>证券买入</v>
      </c>
      <c r="D98" s="8" t="str">
        <f t="shared" ref="D98:D101" si="97">"150182"</f>
        <v>150182</v>
      </c>
      <c r="E98" s="8" t="str">
        <f t="shared" ref="E98:E101" si="98">"军工B"</f>
        <v>军工B</v>
      </c>
      <c r="F98" s="8">
        <v>1.828</v>
      </c>
      <c r="G98" s="8">
        <v>2500</v>
      </c>
      <c r="H98" s="8">
        <v>4570</v>
      </c>
      <c r="I98" s="8">
        <v>-4575</v>
      </c>
      <c r="J98" s="8">
        <v>21096.27</v>
      </c>
      <c r="K98" s="8">
        <v>5000</v>
      </c>
      <c r="L98" s="8" t="str">
        <f t="shared" si="61"/>
        <v>人民币</v>
      </c>
      <c r="M98" s="8" t="str">
        <f>"T4004442"</f>
        <v>T4004442</v>
      </c>
      <c r="N98" s="8" t="str">
        <f t="shared" ref="N98:N101" si="99">"0149593788"</f>
        <v>0149593788</v>
      </c>
      <c r="O98" s="8" t="str">
        <f t="shared" si="62"/>
        <v>300100052893</v>
      </c>
    </row>
    <row r="99" spans="1:15">
      <c r="A99" s="8" t="str">
        <f>"20140918"</f>
        <v>20140918</v>
      </c>
      <c r="B99" s="8" t="str">
        <f>"20140918"</f>
        <v>20140918</v>
      </c>
      <c r="C99" s="8" t="str">
        <f t="shared" si="95"/>
        <v>证券卖出</v>
      </c>
      <c r="D99" s="8" t="str">
        <f t="shared" si="97"/>
        <v>150182</v>
      </c>
      <c r="E99" s="8" t="str">
        <f t="shared" si="98"/>
        <v>军工B</v>
      </c>
      <c r="F99" s="8">
        <v>1.833</v>
      </c>
      <c r="G99" s="8">
        <v>2500</v>
      </c>
      <c r="H99" s="8">
        <v>4582.5</v>
      </c>
      <c r="I99" s="8">
        <v>4577.5</v>
      </c>
      <c r="J99" s="8">
        <v>25673.77</v>
      </c>
      <c r="K99" s="8">
        <v>2500</v>
      </c>
      <c r="L99" s="8" t="str">
        <f t="shared" si="61"/>
        <v>人民币</v>
      </c>
      <c r="M99" s="8" t="str">
        <f>"T4003065"</f>
        <v>T4003065</v>
      </c>
      <c r="N99" s="8" t="str">
        <f t="shared" si="99"/>
        <v>0149593788</v>
      </c>
      <c r="O99" s="8" t="str">
        <f t="shared" si="62"/>
        <v>300100052893</v>
      </c>
    </row>
    <row r="100" spans="1:15">
      <c r="A100" s="8" t="str">
        <f t="shared" ref="A100:A102" si="100">"20140919"</f>
        <v>20140919</v>
      </c>
      <c r="B100" s="8" t="str">
        <f t="shared" ref="B100:B102" si="101">"20140919"</f>
        <v>20140919</v>
      </c>
      <c r="C100" s="8" t="str">
        <f>"利息归本"</f>
        <v>利息归本</v>
      </c>
      <c r="F100" s="8">
        <v>0</v>
      </c>
      <c r="G100" s="8">
        <v>0</v>
      </c>
      <c r="H100" s="8">
        <v>0</v>
      </c>
      <c r="I100" s="8">
        <v>4.63</v>
      </c>
      <c r="J100" s="8">
        <v>25678.4</v>
      </c>
      <c r="K100" s="8">
        <v>0</v>
      </c>
      <c r="L100" s="8" t="str">
        <f t="shared" si="61"/>
        <v>人民币</v>
      </c>
      <c r="O100" s="8" t="str">
        <f t="shared" si="62"/>
        <v>300100052893</v>
      </c>
    </row>
    <row r="101" spans="1:15">
      <c r="A101" s="8" t="str">
        <f t="shared" si="100"/>
        <v>20140919</v>
      </c>
      <c r="B101" s="8" t="str">
        <f t="shared" si="101"/>
        <v>20140919</v>
      </c>
      <c r="C101" s="8" t="str">
        <f t="shared" si="96"/>
        <v>证券买入</v>
      </c>
      <c r="D101" s="8" t="str">
        <f t="shared" si="97"/>
        <v>150182</v>
      </c>
      <c r="E101" s="8" t="str">
        <f t="shared" si="98"/>
        <v>军工B</v>
      </c>
      <c r="F101" s="8">
        <v>1.84</v>
      </c>
      <c r="G101" s="8">
        <v>2500</v>
      </c>
      <c r="H101" s="8">
        <v>4600</v>
      </c>
      <c r="I101" s="8">
        <v>-4605</v>
      </c>
      <c r="J101" s="8">
        <v>21073.4</v>
      </c>
      <c r="K101" s="8">
        <v>5000</v>
      </c>
      <c r="L101" s="8" t="str">
        <f t="shared" si="61"/>
        <v>人民币</v>
      </c>
      <c r="M101" s="8" t="str">
        <f>"T4000846"</f>
        <v>T4000846</v>
      </c>
      <c r="N101" s="8" t="str">
        <f t="shared" si="99"/>
        <v>0149593788</v>
      </c>
      <c r="O101" s="8" t="str">
        <f t="shared" si="62"/>
        <v>300100052893</v>
      </c>
    </row>
    <row r="102" spans="1:15">
      <c r="A102" s="8" t="str">
        <f t="shared" si="100"/>
        <v>20140919</v>
      </c>
      <c r="B102" s="8" t="str">
        <f t="shared" si="101"/>
        <v>20140919</v>
      </c>
      <c r="C102" s="8" t="str">
        <f t="shared" si="96"/>
        <v>证券买入</v>
      </c>
      <c r="D102" s="8" t="str">
        <f>"601607"</f>
        <v>601607</v>
      </c>
      <c r="E102" s="8" t="str">
        <f>"上海医药"</f>
        <v>上海医药</v>
      </c>
      <c r="F102" s="8">
        <v>14.56</v>
      </c>
      <c r="G102" s="8">
        <v>1400</v>
      </c>
      <c r="H102" s="8">
        <v>20384</v>
      </c>
      <c r="I102" s="8">
        <v>-20395.03</v>
      </c>
      <c r="J102" s="8">
        <v>678.37</v>
      </c>
      <c r="K102" s="8">
        <v>4900</v>
      </c>
      <c r="L102" s="8" t="str">
        <f t="shared" si="61"/>
        <v>人民币</v>
      </c>
      <c r="M102" s="8" t="str">
        <f>"1361001403"</f>
        <v>1361001403</v>
      </c>
      <c r="N102" s="8" t="str">
        <f t="shared" ref="N102:N108" si="102">"A368402599"</f>
        <v>A368402599</v>
      </c>
      <c r="O102" s="8" t="str">
        <f t="shared" si="62"/>
        <v>300100052893</v>
      </c>
    </row>
    <row r="103" spans="1:15">
      <c r="A103" s="8" t="str">
        <f>"20140922"</f>
        <v>20140922</v>
      </c>
      <c r="B103" s="8" t="str">
        <f>"20140922"</f>
        <v>20140922</v>
      </c>
      <c r="C103" s="8" t="str">
        <f>"证券卖出"</f>
        <v>证券卖出</v>
      </c>
      <c r="D103" s="8" t="str">
        <f t="shared" ref="D103:D105" si="103">"150182"</f>
        <v>150182</v>
      </c>
      <c r="E103" s="8" t="str">
        <f t="shared" ref="E103:E105" si="104">"军工B"</f>
        <v>军工B</v>
      </c>
      <c r="F103" s="8">
        <v>1.87</v>
      </c>
      <c r="G103" s="8">
        <v>2500</v>
      </c>
      <c r="H103" s="8">
        <v>4675</v>
      </c>
      <c r="I103" s="8">
        <v>4670</v>
      </c>
      <c r="J103" s="8">
        <v>5348.37</v>
      </c>
      <c r="K103" s="8">
        <v>2500</v>
      </c>
      <c r="L103" s="8" t="str">
        <f t="shared" si="61"/>
        <v>人民币</v>
      </c>
      <c r="M103" s="8" t="str">
        <f>"T4000471"</f>
        <v>T4000471</v>
      </c>
      <c r="N103" s="8" t="str">
        <f t="shared" ref="N103:N105" si="105">"0149593788"</f>
        <v>0149593788</v>
      </c>
      <c r="O103" s="8" t="str">
        <f t="shared" si="62"/>
        <v>300100052893</v>
      </c>
    </row>
    <row r="104" spans="1:15">
      <c r="A104" s="8" t="str">
        <f>"20140923"</f>
        <v>20140923</v>
      </c>
      <c r="B104" s="8" t="str">
        <f>"20140923"</f>
        <v>20140923</v>
      </c>
      <c r="C104" s="8" t="str">
        <f>"证券买入"</f>
        <v>证券买入</v>
      </c>
      <c r="D104" s="8" t="str">
        <f t="shared" si="103"/>
        <v>150182</v>
      </c>
      <c r="E104" s="8" t="str">
        <f t="shared" si="104"/>
        <v>军工B</v>
      </c>
      <c r="F104" s="8">
        <v>1.871</v>
      </c>
      <c r="G104" s="8">
        <v>2500</v>
      </c>
      <c r="H104" s="8">
        <v>4677.5</v>
      </c>
      <c r="I104" s="8">
        <v>-4682.5</v>
      </c>
      <c r="J104" s="8">
        <v>665.87</v>
      </c>
      <c r="K104" s="8">
        <v>5000</v>
      </c>
      <c r="L104" s="8" t="str">
        <f t="shared" si="61"/>
        <v>人民币</v>
      </c>
      <c r="M104" s="8" t="str">
        <f>"T4000859"</f>
        <v>T4000859</v>
      </c>
      <c r="N104" s="8" t="str">
        <f t="shared" si="105"/>
        <v>0149593788</v>
      </c>
      <c r="O104" s="8" t="str">
        <f t="shared" si="62"/>
        <v>300100052893</v>
      </c>
    </row>
    <row r="105" spans="1:15">
      <c r="A105" s="8" t="str">
        <f>"20140923"</f>
        <v>20140923</v>
      </c>
      <c r="B105" s="8" t="str">
        <f>"20140923"</f>
        <v>20140923</v>
      </c>
      <c r="C105" s="8" t="str">
        <f>"证券卖出"</f>
        <v>证券卖出</v>
      </c>
      <c r="D105" s="8" t="str">
        <f t="shared" si="103"/>
        <v>150182</v>
      </c>
      <c r="E105" s="8" t="str">
        <f t="shared" si="104"/>
        <v>军工B</v>
      </c>
      <c r="F105" s="8">
        <v>1.916</v>
      </c>
      <c r="G105" s="8">
        <v>2500</v>
      </c>
      <c r="H105" s="8">
        <v>4790</v>
      </c>
      <c r="I105" s="8">
        <v>4785</v>
      </c>
      <c r="J105" s="8">
        <v>5450.87</v>
      </c>
      <c r="K105" s="8">
        <v>2500</v>
      </c>
      <c r="L105" s="8" t="str">
        <f t="shared" si="61"/>
        <v>人民币</v>
      </c>
      <c r="M105" s="8" t="str">
        <f>"T4001507"</f>
        <v>T4001507</v>
      </c>
      <c r="N105" s="8" t="str">
        <f t="shared" si="105"/>
        <v>0149593788</v>
      </c>
      <c r="O105" s="8" t="str">
        <f t="shared" si="62"/>
        <v>300100052893</v>
      </c>
    </row>
    <row r="106" spans="1:15">
      <c r="A106" s="8" t="str">
        <f t="shared" ref="A106:A112" si="106">"20140924"</f>
        <v>20140924</v>
      </c>
      <c r="B106" s="8" t="str">
        <f t="shared" ref="B106:B114" si="107">"20140924"</f>
        <v>20140924</v>
      </c>
      <c r="C106" s="8" t="str">
        <f t="shared" ref="C106:C110" si="108">"股份转出"</f>
        <v>股份转出</v>
      </c>
      <c r="D106" s="8" t="str">
        <f>"601166"</f>
        <v>601166</v>
      </c>
      <c r="E106" s="8" t="str">
        <f>"兴业银行"</f>
        <v>兴业银行</v>
      </c>
      <c r="F106" s="8">
        <v>0</v>
      </c>
      <c r="G106" s="8">
        <v>800</v>
      </c>
      <c r="H106" s="8">
        <v>0</v>
      </c>
      <c r="I106" s="8">
        <v>0</v>
      </c>
      <c r="J106" s="8">
        <v>5450.87</v>
      </c>
      <c r="K106" s="8">
        <v>0</v>
      </c>
      <c r="L106" s="8" t="str">
        <f t="shared" si="61"/>
        <v>人民币</v>
      </c>
      <c r="N106" s="8" t="str">
        <f t="shared" si="102"/>
        <v>A368402599</v>
      </c>
      <c r="O106" s="8" t="str">
        <f t="shared" si="62"/>
        <v>300100052893</v>
      </c>
    </row>
    <row r="107" spans="1:15">
      <c r="A107" s="8" t="str">
        <f t="shared" si="106"/>
        <v>20140924</v>
      </c>
      <c r="B107" s="8" t="str">
        <f t="shared" si="107"/>
        <v>20140924</v>
      </c>
      <c r="C107" s="8" t="str">
        <f t="shared" si="108"/>
        <v>股份转出</v>
      </c>
      <c r="D107" s="8" t="str">
        <f>"601607"</f>
        <v>601607</v>
      </c>
      <c r="E107" s="8" t="str">
        <f>"上海医药"</f>
        <v>上海医药</v>
      </c>
      <c r="F107" s="8">
        <v>0</v>
      </c>
      <c r="G107" s="8">
        <v>2000</v>
      </c>
      <c r="H107" s="8">
        <v>0</v>
      </c>
      <c r="I107" s="8">
        <v>0</v>
      </c>
      <c r="J107" s="8">
        <v>5450.87</v>
      </c>
      <c r="K107" s="8">
        <v>2900</v>
      </c>
      <c r="L107" s="8" t="str">
        <f t="shared" si="61"/>
        <v>人民币</v>
      </c>
      <c r="N107" s="8" t="str">
        <f t="shared" si="102"/>
        <v>A368402599</v>
      </c>
      <c r="O107" s="8" t="str">
        <f t="shared" si="62"/>
        <v>300100052893</v>
      </c>
    </row>
    <row r="108" spans="1:15">
      <c r="A108" s="8" t="str">
        <f t="shared" si="106"/>
        <v>20140924</v>
      </c>
      <c r="B108" s="8" t="str">
        <f t="shared" si="107"/>
        <v>20140924</v>
      </c>
      <c r="C108" s="8" t="str">
        <f t="shared" si="108"/>
        <v>股份转出</v>
      </c>
      <c r="D108" s="8" t="str">
        <f>"601607"</f>
        <v>601607</v>
      </c>
      <c r="E108" s="8" t="str">
        <f>"上海医药"</f>
        <v>上海医药</v>
      </c>
      <c r="F108" s="8">
        <v>0</v>
      </c>
      <c r="G108" s="8">
        <v>1900</v>
      </c>
      <c r="H108" s="8">
        <v>0</v>
      </c>
      <c r="I108" s="8">
        <v>0</v>
      </c>
      <c r="J108" s="8">
        <v>5450.87</v>
      </c>
      <c r="K108" s="8">
        <v>1000</v>
      </c>
      <c r="L108" s="8" t="str">
        <f t="shared" si="61"/>
        <v>人民币</v>
      </c>
      <c r="N108" s="8" t="str">
        <f t="shared" si="102"/>
        <v>A368402599</v>
      </c>
      <c r="O108" s="8" t="str">
        <f t="shared" si="62"/>
        <v>300100052893</v>
      </c>
    </row>
    <row r="109" spans="1:15">
      <c r="A109" s="8" t="str">
        <f t="shared" si="106"/>
        <v>20140924</v>
      </c>
      <c r="B109" s="8" t="str">
        <f t="shared" si="107"/>
        <v>20140924</v>
      </c>
      <c r="C109" s="8" t="str">
        <f t="shared" si="108"/>
        <v>股份转出</v>
      </c>
      <c r="D109" s="8" t="str">
        <f>"150181"</f>
        <v>150181</v>
      </c>
      <c r="E109" s="8" t="str">
        <f>"军工A"</f>
        <v>军工A</v>
      </c>
      <c r="F109" s="8">
        <v>0</v>
      </c>
      <c r="G109" s="8">
        <v>23100</v>
      </c>
      <c r="H109" s="8">
        <v>0</v>
      </c>
      <c r="I109" s="8">
        <v>0</v>
      </c>
      <c r="J109" s="8">
        <v>5450.87</v>
      </c>
      <c r="K109" s="8">
        <v>0</v>
      </c>
      <c r="L109" s="8" t="str">
        <f t="shared" si="61"/>
        <v>人民币</v>
      </c>
      <c r="M109" s="8" t="str">
        <f>"T4000001"</f>
        <v>T4000001</v>
      </c>
      <c r="N109" s="8" t="str">
        <f t="shared" ref="N109:N111" si="109">"0149593788"</f>
        <v>0149593788</v>
      </c>
      <c r="O109" s="8" t="str">
        <f t="shared" si="62"/>
        <v>300100052893</v>
      </c>
    </row>
    <row r="110" spans="1:15">
      <c r="A110" s="8" t="str">
        <f t="shared" si="106"/>
        <v>20140924</v>
      </c>
      <c r="B110" s="8" t="str">
        <f t="shared" si="107"/>
        <v>20140924</v>
      </c>
      <c r="C110" s="8" t="str">
        <f t="shared" si="108"/>
        <v>股份转出</v>
      </c>
      <c r="D110" s="8" t="str">
        <f>"000606"</f>
        <v>000606</v>
      </c>
      <c r="E110" s="8" t="str">
        <f>"青海明胶"</f>
        <v>青海明胶</v>
      </c>
      <c r="F110" s="8">
        <v>0</v>
      </c>
      <c r="G110" s="8">
        <v>1500</v>
      </c>
      <c r="H110" s="8">
        <v>0</v>
      </c>
      <c r="I110" s="8">
        <v>0</v>
      </c>
      <c r="J110" s="8">
        <v>5450.87</v>
      </c>
      <c r="K110" s="8">
        <v>0</v>
      </c>
      <c r="L110" s="8" t="str">
        <f t="shared" si="61"/>
        <v>人民币</v>
      </c>
      <c r="M110" s="8" t="str">
        <f>"T4000547"</f>
        <v>T4000547</v>
      </c>
      <c r="N110" s="8" t="str">
        <f t="shared" si="109"/>
        <v>0149593788</v>
      </c>
      <c r="O110" s="8" t="str">
        <f t="shared" si="62"/>
        <v>300100052893</v>
      </c>
    </row>
    <row r="111" spans="1:15">
      <c r="A111" s="8" t="str">
        <f t="shared" si="106"/>
        <v>20140924</v>
      </c>
      <c r="B111" s="8" t="str">
        <f t="shared" si="107"/>
        <v>20140924</v>
      </c>
      <c r="C111" s="8" t="str">
        <f>"证券卖出"</f>
        <v>证券卖出</v>
      </c>
      <c r="D111" s="8" t="str">
        <f>"150182"</f>
        <v>150182</v>
      </c>
      <c r="E111" s="8" t="str">
        <f>"军工B"</f>
        <v>军工B</v>
      </c>
      <c r="F111" s="8">
        <v>1.961</v>
      </c>
      <c r="G111" s="8">
        <v>2500</v>
      </c>
      <c r="H111" s="8">
        <v>4902.5</v>
      </c>
      <c r="I111" s="8">
        <v>4897.5</v>
      </c>
      <c r="J111" s="8">
        <v>10348.37</v>
      </c>
      <c r="K111" s="8">
        <v>0</v>
      </c>
      <c r="L111" s="8" t="str">
        <f t="shared" si="61"/>
        <v>人民币</v>
      </c>
      <c r="M111" s="8" t="str">
        <f>"T4002180"</f>
        <v>T4002180</v>
      </c>
      <c r="N111" s="8" t="str">
        <f t="shared" si="109"/>
        <v>0149593788</v>
      </c>
      <c r="O111" s="8" t="str">
        <f t="shared" si="62"/>
        <v>300100052893</v>
      </c>
    </row>
    <row r="112" spans="1:15">
      <c r="A112" s="8" t="str">
        <f t="shared" si="106"/>
        <v>20140924</v>
      </c>
      <c r="B112" s="8" t="str">
        <f t="shared" si="107"/>
        <v>20140924</v>
      </c>
      <c r="C112" s="8" t="str">
        <f>"证券买入"</f>
        <v>证券买入</v>
      </c>
      <c r="D112" s="8" t="str">
        <f>"511990"</f>
        <v>511990</v>
      </c>
      <c r="E112" s="8" t="str">
        <f>"华宝添益"</f>
        <v>华宝添益</v>
      </c>
      <c r="F112" s="8">
        <v>99.947</v>
      </c>
      <c r="G112" s="8">
        <v>100</v>
      </c>
      <c r="H112" s="8">
        <v>9994.7</v>
      </c>
      <c r="I112" s="8">
        <v>-9994.7</v>
      </c>
      <c r="J112" s="8">
        <v>353.67</v>
      </c>
      <c r="K112" s="8">
        <v>100</v>
      </c>
      <c r="L112" s="8" t="str">
        <f t="shared" si="61"/>
        <v>人民币</v>
      </c>
      <c r="M112" s="8" t="str">
        <f>"1361002179"</f>
        <v>1361002179</v>
      </c>
      <c r="N112" s="8" t="str">
        <f t="shared" ref="N112:N114" si="110">"A368402599"</f>
        <v>A368402599</v>
      </c>
      <c r="O112" s="8" t="str">
        <f t="shared" si="62"/>
        <v>300100052893</v>
      </c>
    </row>
    <row r="113" spans="1:15">
      <c r="A113" s="8" t="str">
        <f>"20140925"</f>
        <v>20140925</v>
      </c>
      <c r="B113" s="8" t="str">
        <f t="shared" si="107"/>
        <v>20140924</v>
      </c>
      <c r="C113" s="8" t="str">
        <f>"ETF 基金赎回"</f>
        <v>ETF 基金赎回</v>
      </c>
      <c r="D113" s="8" t="str">
        <f>"511991"</f>
        <v>511991</v>
      </c>
      <c r="E113" s="8" t="str">
        <f>"添益申赎"</f>
        <v>添益申赎</v>
      </c>
      <c r="F113" s="8">
        <v>0</v>
      </c>
      <c r="G113" s="8">
        <v>100</v>
      </c>
      <c r="H113" s="8">
        <v>0</v>
      </c>
      <c r="I113" s="8">
        <v>0</v>
      </c>
      <c r="J113" s="8">
        <v>353.67</v>
      </c>
      <c r="K113" s="8">
        <v>0</v>
      </c>
      <c r="L113" s="8" t="str">
        <f t="shared" si="61"/>
        <v>人民币</v>
      </c>
      <c r="M113" s="8" t="str">
        <f>"1361002210"</f>
        <v>1361002210</v>
      </c>
      <c r="N113" s="8" t="str">
        <f t="shared" si="110"/>
        <v>A368402599</v>
      </c>
      <c r="O113" s="8" t="str">
        <f t="shared" si="62"/>
        <v>300100052893</v>
      </c>
    </row>
    <row r="114" spans="1:15">
      <c r="A114" s="8" t="str">
        <f>"20140925"</f>
        <v>20140925</v>
      </c>
      <c r="B114" s="8" t="str">
        <f t="shared" si="107"/>
        <v>20140924</v>
      </c>
      <c r="C114" s="8" t="str">
        <f>"ETF 申购退款"</f>
        <v>ETF 申购退款</v>
      </c>
      <c r="D114" s="8" t="str">
        <f>"511990"</f>
        <v>511990</v>
      </c>
      <c r="E114" s="8" t="str">
        <f>"华宝添益"</f>
        <v>华宝添益</v>
      </c>
      <c r="F114" s="8">
        <v>0</v>
      </c>
      <c r="G114" s="8">
        <v>0</v>
      </c>
      <c r="H114" s="8">
        <v>10001.04</v>
      </c>
      <c r="I114" s="8">
        <v>10001.04</v>
      </c>
      <c r="J114" s="8">
        <v>10354.71</v>
      </c>
      <c r="K114" s="8">
        <v>0</v>
      </c>
      <c r="L114" s="8" t="str">
        <f t="shared" si="61"/>
        <v>人民币</v>
      </c>
      <c r="N114" s="8" t="str">
        <f t="shared" si="110"/>
        <v>A368402599</v>
      </c>
      <c r="O114" s="8" t="str">
        <f t="shared" si="62"/>
        <v>300100052893</v>
      </c>
    </row>
    <row r="115" spans="1:15">
      <c r="A115" s="8" t="str">
        <f>"20140926"</f>
        <v>20140926</v>
      </c>
      <c r="B115" s="8" t="str">
        <f>"20140926"</f>
        <v>20140926</v>
      </c>
      <c r="C115" s="8" t="str">
        <f>"证券转银行"</f>
        <v>证券转银行</v>
      </c>
      <c r="F115" s="8">
        <v>0</v>
      </c>
      <c r="G115" s="8">
        <v>0</v>
      </c>
      <c r="H115" s="8">
        <v>0</v>
      </c>
      <c r="I115" s="8">
        <v>-10354.71</v>
      </c>
      <c r="J115" s="8">
        <v>0</v>
      </c>
      <c r="K115" s="8">
        <v>0</v>
      </c>
      <c r="L115" s="8" t="str">
        <f t="shared" si="61"/>
        <v>人民币</v>
      </c>
      <c r="O115" s="8" t="str">
        <f t="shared" si="62"/>
        <v>300100052893</v>
      </c>
    </row>
    <row r="116" spans="1:15">
      <c r="A116" s="8" t="str">
        <f>"20140926"</f>
        <v>20140926</v>
      </c>
      <c r="B116" s="8" t="str">
        <f>"20140926"</f>
        <v>20140926</v>
      </c>
      <c r="C116" s="8" t="str">
        <f>"股份转出"</f>
        <v>股份转出</v>
      </c>
      <c r="D116" s="8" t="str">
        <f>"601607"</f>
        <v>601607</v>
      </c>
      <c r="E116" s="8" t="str">
        <f>"上海医药"</f>
        <v>上海医药</v>
      </c>
      <c r="F116" s="8">
        <v>0</v>
      </c>
      <c r="G116" s="8">
        <v>1000</v>
      </c>
      <c r="H116" s="8">
        <v>0</v>
      </c>
      <c r="I116" s="8">
        <v>0</v>
      </c>
      <c r="J116" s="8">
        <v>0</v>
      </c>
      <c r="K116" s="8">
        <v>0</v>
      </c>
      <c r="L116" s="8" t="str">
        <f t="shared" si="61"/>
        <v>人民币</v>
      </c>
      <c r="N116" s="8" t="str">
        <f>"A368402599"</f>
        <v>A368402599</v>
      </c>
      <c r="O116" s="8" t="str">
        <f t="shared" si="62"/>
        <v>300100052893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topLeftCell="A29" workbookViewId="0">
      <selection activeCell="A2" sqref="A2:K42"/>
    </sheetView>
  </sheetViews>
  <sheetFormatPr defaultColWidth="9" defaultRowHeight="13.5"/>
  <cols>
    <col min="1" max="16384" width="9" style="8"/>
  </cols>
  <sheetData>
    <row r="1" spans="1:15">
      <c r="A1" s="8" t="str">
        <f>"成交日期"</f>
        <v>成交日期</v>
      </c>
      <c r="B1" s="8" t="str">
        <f>"委托日期"</f>
        <v>委托日期</v>
      </c>
      <c r="C1" s="8" t="str">
        <f>"业务类型"</f>
        <v>业务类型</v>
      </c>
      <c r="D1" s="8" t="str">
        <f>"证券代码"</f>
        <v>证券代码</v>
      </c>
      <c r="E1" s="8" t="str">
        <f>"证券名称"</f>
        <v>证券名称</v>
      </c>
      <c r="F1" s="8" t="str">
        <f>"成交价格"</f>
        <v>成交价格</v>
      </c>
      <c r="G1" s="8" t="str">
        <f>"成交数量"</f>
        <v>成交数量</v>
      </c>
      <c r="H1" s="8" t="str">
        <f>"成交金额"</f>
        <v>成交金额</v>
      </c>
      <c r="I1" s="8" t="str">
        <f>"发生金额"</f>
        <v>发生金额</v>
      </c>
      <c r="J1" s="8" t="str">
        <f>"资金余额"</f>
        <v>资金余额</v>
      </c>
      <c r="K1" s="8" t="str">
        <f>"当前持仓"</f>
        <v>当前持仓</v>
      </c>
      <c r="L1" s="8" t="str">
        <f>"币种"</f>
        <v>币种</v>
      </c>
      <c r="M1" s="8" t="str">
        <f>"协议编号"</f>
        <v>协议编号</v>
      </c>
      <c r="N1" s="8" t="str">
        <f>"股东代码"</f>
        <v>股东代码</v>
      </c>
      <c r="O1" s="8" t="str">
        <f>"产品账号"</f>
        <v>产品账号</v>
      </c>
    </row>
    <row r="2" spans="1:15">
      <c r="A2" s="8" t="str">
        <f>"20141013"</f>
        <v>20141013</v>
      </c>
      <c r="B2" s="8" t="str">
        <f>"20141013"</f>
        <v>20141013</v>
      </c>
      <c r="C2" s="8" t="str">
        <f>"股份转入"</f>
        <v>股份转入</v>
      </c>
      <c r="D2" s="8" t="str">
        <f>"161024"</f>
        <v>161024</v>
      </c>
      <c r="E2" s="8" t="str">
        <f>"富国军工"</f>
        <v>富国军工</v>
      </c>
      <c r="F2" s="8">
        <v>0</v>
      </c>
      <c r="G2" s="8">
        <v>708</v>
      </c>
      <c r="H2" s="8">
        <v>0</v>
      </c>
      <c r="I2" s="8">
        <v>0</v>
      </c>
      <c r="J2" s="8">
        <v>0</v>
      </c>
      <c r="K2" s="8">
        <v>708</v>
      </c>
      <c r="L2" s="8" t="str">
        <f t="shared" ref="L2:L42" si="0">"人民币"</f>
        <v>人民币</v>
      </c>
      <c r="N2" s="8" t="str">
        <f t="shared" ref="N2:N7" si="1">"0149593788"</f>
        <v>0149593788</v>
      </c>
      <c r="O2" s="8" t="str">
        <f t="shared" ref="O2:O42" si="2">"300100052893"</f>
        <v>300100052893</v>
      </c>
    </row>
    <row r="3" spans="1:15">
      <c r="A3" s="8" t="str">
        <f>"20141015"</f>
        <v>20141015</v>
      </c>
      <c r="B3" s="8" t="str">
        <f>"20141015"</f>
        <v>20141015</v>
      </c>
      <c r="C3" s="8" t="str">
        <f>"开放基金拆分减股"</f>
        <v>开放基金拆分减股</v>
      </c>
      <c r="D3" s="8" t="str">
        <f>"161024"</f>
        <v>161024</v>
      </c>
      <c r="E3" s="8" t="str">
        <f>"富国军工"</f>
        <v>富国军工</v>
      </c>
      <c r="F3" s="8">
        <v>0</v>
      </c>
      <c r="G3" s="8">
        <v>708</v>
      </c>
      <c r="H3" s="8">
        <v>0</v>
      </c>
      <c r="I3" s="8">
        <v>0</v>
      </c>
      <c r="J3" s="8">
        <v>0</v>
      </c>
      <c r="K3" s="8">
        <v>0</v>
      </c>
      <c r="L3" s="8" t="str">
        <f t="shared" si="0"/>
        <v>人民币</v>
      </c>
      <c r="M3" s="8" t="str">
        <f>"T4004819"</f>
        <v>T4004819</v>
      </c>
      <c r="N3" s="8" t="str">
        <f t="shared" si="1"/>
        <v>0149593788</v>
      </c>
      <c r="O3" s="8" t="str">
        <f t="shared" si="2"/>
        <v>300100052893</v>
      </c>
    </row>
    <row r="4" spans="1:15">
      <c r="A4" s="8" t="str">
        <f>"20141015"</f>
        <v>20141015</v>
      </c>
      <c r="B4" s="8" t="str">
        <f>"20141015"</f>
        <v>20141015</v>
      </c>
      <c r="C4" s="8" t="str">
        <f>"开放基金拆分增股"</f>
        <v>开放基金拆分增股</v>
      </c>
      <c r="D4" s="8" t="str">
        <f>"150181"</f>
        <v>150181</v>
      </c>
      <c r="E4" s="8" t="str">
        <f>"军工A"</f>
        <v>军工A</v>
      </c>
      <c r="F4" s="8">
        <v>0</v>
      </c>
      <c r="G4" s="8">
        <v>354</v>
      </c>
      <c r="H4" s="8">
        <v>0</v>
      </c>
      <c r="I4" s="8">
        <v>0</v>
      </c>
      <c r="J4" s="8">
        <v>0</v>
      </c>
      <c r="K4" s="8">
        <v>354</v>
      </c>
      <c r="L4" s="8" t="str">
        <f t="shared" si="0"/>
        <v>人民币</v>
      </c>
      <c r="M4" s="8" t="str">
        <f>"T4004819"</f>
        <v>T4004819</v>
      </c>
      <c r="N4" s="8" t="str">
        <f t="shared" si="1"/>
        <v>0149593788</v>
      </c>
      <c r="O4" s="8" t="str">
        <f t="shared" si="2"/>
        <v>300100052893</v>
      </c>
    </row>
    <row r="5" spans="1:15">
      <c r="A5" s="8" t="str">
        <f>"20141015"</f>
        <v>20141015</v>
      </c>
      <c r="B5" s="8" t="str">
        <f>"20141015"</f>
        <v>20141015</v>
      </c>
      <c r="C5" s="8" t="str">
        <f>"开放基金拆分增股"</f>
        <v>开放基金拆分增股</v>
      </c>
      <c r="D5" s="8" t="str">
        <f>"150182"</f>
        <v>150182</v>
      </c>
      <c r="E5" s="8" t="str">
        <f>"军工B"</f>
        <v>军工B</v>
      </c>
      <c r="F5" s="8">
        <v>0</v>
      </c>
      <c r="G5" s="8">
        <v>354</v>
      </c>
      <c r="H5" s="8">
        <v>0</v>
      </c>
      <c r="I5" s="8">
        <v>0</v>
      </c>
      <c r="J5" s="8">
        <v>0</v>
      </c>
      <c r="K5" s="8">
        <v>354</v>
      </c>
      <c r="L5" s="8" t="str">
        <f t="shared" si="0"/>
        <v>人民币</v>
      </c>
      <c r="M5" s="8" t="str">
        <f>"T4004819"</f>
        <v>T4004819</v>
      </c>
      <c r="N5" s="8" t="str">
        <f t="shared" si="1"/>
        <v>0149593788</v>
      </c>
      <c r="O5" s="8" t="str">
        <f t="shared" si="2"/>
        <v>300100052893</v>
      </c>
    </row>
    <row r="6" spans="1:15">
      <c r="A6" s="8" t="str">
        <f>"20141016"</f>
        <v>20141016</v>
      </c>
      <c r="B6" s="8" t="str">
        <f>"20141016"</f>
        <v>20141016</v>
      </c>
      <c r="C6" s="8" t="str">
        <f>"股份转出"</f>
        <v>股份转出</v>
      </c>
      <c r="D6" s="8" t="str">
        <f>"150181"</f>
        <v>150181</v>
      </c>
      <c r="E6" s="8" t="str">
        <f>"军工A"</f>
        <v>军工A</v>
      </c>
      <c r="F6" s="8">
        <v>0</v>
      </c>
      <c r="G6" s="8">
        <v>354</v>
      </c>
      <c r="H6" s="8">
        <v>0</v>
      </c>
      <c r="I6" s="8">
        <v>0</v>
      </c>
      <c r="J6" s="8">
        <v>0</v>
      </c>
      <c r="K6" s="8">
        <v>0</v>
      </c>
      <c r="L6" s="8" t="str">
        <f t="shared" si="0"/>
        <v>人民币</v>
      </c>
      <c r="M6" s="8" t="str">
        <f>"T4000103"</f>
        <v>T4000103</v>
      </c>
      <c r="N6" s="8" t="str">
        <f t="shared" si="1"/>
        <v>0149593788</v>
      </c>
      <c r="O6" s="8" t="str">
        <f t="shared" si="2"/>
        <v>300100052893</v>
      </c>
    </row>
    <row r="7" spans="1:15">
      <c r="A7" s="8" t="str">
        <f>"20141016"</f>
        <v>20141016</v>
      </c>
      <c r="B7" s="8" t="str">
        <f>"20141016"</f>
        <v>20141016</v>
      </c>
      <c r="C7" s="8" t="str">
        <f>"证券卖出"</f>
        <v>证券卖出</v>
      </c>
      <c r="D7" s="8" t="str">
        <f>"150182"</f>
        <v>150182</v>
      </c>
      <c r="E7" s="8" t="str">
        <f>"军工B"</f>
        <v>军工B</v>
      </c>
      <c r="F7" s="8">
        <v>1.233</v>
      </c>
      <c r="G7" s="8">
        <v>354</v>
      </c>
      <c r="H7" s="8">
        <v>436.48</v>
      </c>
      <c r="I7" s="8">
        <v>431.48</v>
      </c>
      <c r="J7" s="8">
        <v>431.48</v>
      </c>
      <c r="K7" s="8">
        <v>0</v>
      </c>
      <c r="L7" s="8" t="str">
        <f t="shared" si="0"/>
        <v>人民币</v>
      </c>
      <c r="M7" s="8" t="str">
        <f>"T4001658"</f>
        <v>T4001658</v>
      </c>
      <c r="N7" s="8" t="str">
        <f t="shared" si="1"/>
        <v>0149593788</v>
      </c>
      <c r="O7" s="8" t="str">
        <f t="shared" si="2"/>
        <v>300100052893</v>
      </c>
    </row>
    <row r="8" spans="1:15">
      <c r="A8" s="8" t="str">
        <f>"20141110"</f>
        <v>20141110</v>
      </c>
      <c r="B8" s="8" t="str">
        <f>"20141110"</f>
        <v>20141110</v>
      </c>
      <c r="C8" s="8" t="str">
        <f>"证券转银行"</f>
        <v>证券转银行</v>
      </c>
      <c r="F8" s="8">
        <v>0</v>
      </c>
      <c r="G8" s="8">
        <v>0</v>
      </c>
      <c r="H8" s="8">
        <v>0</v>
      </c>
      <c r="I8" s="8">
        <v>-431.48</v>
      </c>
      <c r="J8" s="8">
        <v>0</v>
      </c>
      <c r="K8" s="8">
        <v>0</v>
      </c>
      <c r="L8" s="8" t="str">
        <f t="shared" si="0"/>
        <v>人民币</v>
      </c>
      <c r="O8" s="8" t="str">
        <f t="shared" si="2"/>
        <v>300100052893</v>
      </c>
    </row>
    <row r="9" spans="1:15">
      <c r="A9" s="8" t="str">
        <f t="shared" ref="A9:A12" si="3">"20141124"</f>
        <v>20141124</v>
      </c>
      <c r="B9" s="8" t="str">
        <f t="shared" ref="B9:B13" si="4">"20141124"</f>
        <v>20141124</v>
      </c>
      <c r="C9" s="8" t="str">
        <f>"银行转证券"</f>
        <v>银行转证券</v>
      </c>
      <c r="F9" s="8">
        <v>0</v>
      </c>
      <c r="G9" s="8">
        <v>0</v>
      </c>
      <c r="H9" s="8">
        <v>0</v>
      </c>
      <c r="I9" s="8">
        <v>40000</v>
      </c>
      <c r="J9" s="8">
        <v>40000</v>
      </c>
      <c r="K9" s="8">
        <v>0</v>
      </c>
      <c r="L9" s="8" t="str">
        <f t="shared" si="0"/>
        <v>人民币</v>
      </c>
      <c r="O9" s="8" t="str">
        <f t="shared" si="2"/>
        <v>300100052893</v>
      </c>
    </row>
    <row r="10" spans="1:15">
      <c r="A10" s="8" t="str">
        <f t="shared" si="3"/>
        <v>20141124</v>
      </c>
      <c r="B10" s="8" t="str">
        <f t="shared" si="4"/>
        <v>20141124</v>
      </c>
      <c r="C10" s="8" t="str">
        <f>"股份转入"</f>
        <v>股份转入</v>
      </c>
      <c r="D10" s="8" t="str">
        <f>"150181"</f>
        <v>150181</v>
      </c>
      <c r="E10" s="8" t="str">
        <f>"军工A"</f>
        <v>军工A</v>
      </c>
      <c r="F10" s="8">
        <v>0.88</v>
      </c>
      <c r="G10" s="8">
        <v>23454</v>
      </c>
      <c r="H10" s="8">
        <v>20639.52</v>
      </c>
      <c r="I10" s="8">
        <v>0</v>
      </c>
      <c r="J10" s="8">
        <v>40000</v>
      </c>
      <c r="K10" s="8">
        <v>23454</v>
      </c>
      <c r="L10" s="8" t="str">
        <f t="shared" si="0"/>
        <v>人民币</v>
      </c>
      <c r="N10" s="8" t="str">
        <f>"0149593788"</f>
        <v>0149593788</v>
      </c>
      <c r="O10" s="8" t="str">
        <f t="shared" si="2"/>
        <v>300100052893</v>
      </c>
    </row>
    <row r="11" spans="1:15">
      <c r="A11" s="8" t="str">
        <f t="shared" si="3"/>
        <v>20141124</v>
      </c>
      <c r="B11" s="8" t="str">
        <f t="shared" si="4"/>
        <v>20141124</v>
      </c>
      <c r="C11" s="8" t="str">
        <f t="shared" ref="C11:C16" si="5">"证券买入"</f>
        <v>证券买入</v>
      </c>
      <c r="D11" s="8" t="str">
        <f t="shared" ref="D11:D17" si="6">"511990"</f>
        <v>511990</v>
      </c>
      <c r="E11" s="8" t="str">
        <f t="shared" ref="E11:E17" si="7">"华宝添益"</f>
        <v>华宝添益</v>
      </c>
      <c r="F11" s="8">
        <v>99.65</v>
      </c>
      <c r="G11" s="8">
        <v>200</v>
      </c>
      <c r="H11" s="8">
        <v>19930</v>
      </c>
      <c r="I11" s="8">
        <v>-19930</v>
      </c>
      <c r="J11" s="8">
        <v>20070</v>
      </c>
      <c r="K11" s="8">
        <v>200</v>
      </c>
      <c r="L11" s="8" t="str">
        <f t="shared" si="0"/>
        <v>人民币</v>
      </c>
      <c r="M11" s="8" t="str">
        <f>"1361001155"</f>
        <v>1361001155</v>
      </c>
      <c r="N11" s="8" t="str">
        <f t="shared" ref="N11:N18" si="8">"A368402599"</f>
        <v>A368402599</v>
      </c>
      <c r="O11" s="8" t="str">
        <f t="shared" si="2"/>
        <v>300100052893</v>
      </c>
    </row>
    <row r="12" spans="1:15">
      <c r="A12" s="8" t="str">
        <f t="shared" si="3"/>
        <v>20141124</v>
      </c>
      <c r="B12" s="8" t="str">
        <f t="shared" si="4"/>
        <v>20141124</v>
      </c>
      <c r="C12" s="8" t="str">
        <f t="shared" si="5"/>
        <v>证券买入</v>
      </c>
      <c r="D12" s="8" t="str">
        <f t="shared" si="6"/>
        <v>511990</v>
      </c>
      <c r="E12" s="8" t="str">
        <f t="shared" si="7"/>
        <v>华宝添益</v>
      </c>
      <c r="F12" s="8">
        <v>99.72</v>
      </c>
      <c r="G12" s="8">
        <v>200</v>
      </c>
      <c r="H12" s="8">
        <v>19944</v>
      </c>
      <c r="I12" s="8">
        <v>-19944</v>
      </c>
      <c r="J12" s="8">
        <v>126</v>
      </c>
      <c r="K12" s="8">
        <v>400</v>
      </c>
      <c r="L12" s="8" t="str">
        <f t="shared" si="0"/>
        <v>人民币</v>
      </c>
      <c r="M12" s="8" t="str">
        <f>"1361001410"</f>
        <v>1361001410</v>
      </c>
      <c r="N12" s="8" t="str">
        <f t="shared" si="8"/>
        <v>A368402599</v>
      </c>
      <c r="O12" s="8" t="str">
        <f t="shared" si="2"/>
        <v>300100052893</v>
      </c>
    </row>
    <row r="13" spans="1:15">
      <c r="A13" s="8" t="str">
        <f t="shared" ref="A13:A15" si="9">"20141125"</f>
        <v>20141125</v>
      </c>
      <c r="B13" s="8" t="str">
        <f t="shared" si="4"/>
        <v>20141124</v>
      </c>
      <c r="C13" s="8" t="str">
        <f>"ETF 基金赎回"</f>
        <v>ETF 基金赎回</v>
      </c>
      <c r="D13" s="8" t="str">
        <f>"511991"</f>
        <v>511991</v>
      </c>
      <c r="E13" s="8" t="str">
        <f>"添益申赎"</f>
        <v>添益申赎</v>
      </c>
      <c r="F13" s="8">
        <v>0</v>
      </c>
      <c r="G13" s="8">
        <v>400</v>
      </c>
      <c r="H13" s="8">
        <v>0</v>
      </c>
      <c r="I13" s="8">
        <v>0</v>
      </c>
      <c r="J13" s="8">
        <v>126</v>
      </c>
      <c r="K13" s="8">
        <v>0</v>
      </c>
      <c r="L13" s="8" t="str">
        <f t="shared" si="0"/>
        <v>人民币</v>
      </c>
      <c r="M13" s="8" t="str">
        <f>"1361004936"</f>
        <v>1361004936</v>
      </c>
      <c r="N13" s="8" t="str">
        <f t="shared" si="8"/>
        <v>A368402599</v>
      </c>
      <c r="O13" s="8" t="str">
        <f t="shared" si="2"/>
        <v>300100052893</v>
      </c>
    </row>
    <row r="14" spans="1:15">
      <c r="A14" s="8" t="str">
        <f t="shared" si="9"/>
        <v>20141125</v>
      </c>
      <c r="B14" s="8" t="str">
        <f>"20141125"</f>
        <v>20141125</v>
      </c>
      <c r="C14" s="8" t="str">
        <f>"股份转入"</f>
        <v>股份转入</v>
      </c>
      <c r="D14" s="8" t="str">
        <f t="shared" si="6"/>
        <v>511990</v>
      </c>
      <c r="E14" s="8" t="str">
        <f t="shared" si="7"/>
        <v>华宝添益</v>
      </c>
      <c r="F14" s="8">
        <v>99.839</v>
      </c>
      <c r="G14" s="8">
        <v>300</v>
      </c>
      <c r="H14" s="8">
        <v>29951.7</v>
      </c>
      <c r="I14" s="8">
        <v>0</v>
      </c>
      <c r="J14" s="8">
        <v>126</v>
      </c>
      <c r="K14" s="8">
        <v>300</v>
      </c>
      <c r="L14" s="8" t="str">
        <f t="shared" si="0"/>
        <v>人民币</v>
      </c>
      <c r="N14" s="8" t="str">
        <f t="shared" si="8"/>
        <v>A368402599</v>
      </c>
      <c r="O14" s="8" t="str">
        <f t="shared" si="2"/>
        <v>300100052893</v>
      </c>
    </row>
    <row r="15" spans="1:15">
      <c r="A15" s="8" t="str">
        <f t="shared" si="9"/>
        <v>20141125</v>
      </c>
      <c r="B15" s="8" t="str">
        <f>"20141124"</f>
        <v>20141124</v>
      </c>
      <c r="C15" s="8" t="str">
        <f>"ETF 申购退款"</f>
        <v>ETF 申购退款</v>
      </c>
      <c r="D15" s="8" t="str">
        <f t="shared" si="6"/>
        <v>511990</v>
      </c>
      <c r="E15" s="8" t="str">
        <f t="shared" si="7"/>
        <v>华宝添益</v>
      </c>
      <c r="F15" s="8">
        <v>0</v>
      </c>
      <c r="G15" s="8">
        <v>0</v>
      </c>
      <c r="H15" s="8">
        <v>40003.79</v>
      </c>
      <c r="I15" s="8">
        <v>40003.79</v>
      </c>
      <c r="J15" s="8">
        <v>40129.79</v>
      </c>
      <c r="K15" s="8">
        <v>0</v>
      </c>
      <c r="L15" s="8" t="str">
        <f t="shared" si="0"/>
        <v>人民币</v>
      </c>
      <c r="N15" s="8" t="str">
        <f t="shared" si="8"/>
        <v>A368402599</v>
      </c>
      <c r="O15" s="8" t="str">
        <f t="shared" si="2"/>
        <v>300100052893</v>
      </c>
    </row>
    <row r="16" spans="1:15">
      <c r="A16" s="8" t="str">
        <f>"20141128"</f>
        <v>20141128</v>
      </c>
      <c r="B16" s="8" t="str">
        <f>"20141128"</f>
        <v>20141128</v>
      </c>
      <c r="C16" s="8" t="str">
        <f t="shared" si="5"/>
        <v>证券买入</v>
      </c>
      <c r="D16" s="8" t="str">
        <f t="shared" si="6"/>
        <v>511990</v>
      </c>
      <c r="E16" s="8" t="str">
        <f t="shared" si="7"/>
        <v>华宝添益</v>
      </c>
      <c r="F16" s="8">
        <v>100.011</v>
      </c>
      <c r="G16" s="8">
        <v>400</v>
      </c>
      <c r="H16" s="8">
        <v>40004.4</v>
      </c>
      <c r="I16" s="8">
        <v>-40004.4</v>
      </c>
      <c r="J16" s="8">
        <v>125.39</v>
      </c>
      <c r="K16" s="8">
        <v>700</v>
      </c>
      <c r="L16" s="8" t="str">
        <f t="shared" si="0"/>
        <v>人民币</v>
      </c>
      <c r="M16" s="8" t="str">
        <f>"1361001718"</f>
        <v>1361001718</v>
      </c>
      <c r="N16" s="8" t="str">
        <f t="shared" si="8"/>
        <v>A368402599</v>
      </c>
      <c r="O16" s="8" t="str">
        <f t="shared" si="2"/>
        <v>300100052893</v>
      </c>
    </row>
    <row r="17" spans="1:15">
      <c r="A17" s="8" t="str">
        <f>"20141203"</f>
        <v>20141203</v>
      </c>
      <c r="B17" s="8" t="str">
        <f>"20141203"</f>
        <v>20141203</v>
      </c>
      <c r="C17" s="8" t="str">
        <f t="shared" ref="C17:C25" si="10">"证券卖出"</f>
        <v>证券卖出</v>
      </c>
      <c r="D17" s="8" t="str">
        <f t="shared" si="6"/>
        <v>511990</v>
      </c>
      <c r="E17" s="8" t="str">
        <f t="shared" si="7"/>
        <v>华宝添益</v>
      </c>
      <c r="F17" s="8">
        <v>99.981</v>
      </c>
      <c r="G17" s="8">
        <v>200</v>
      </c>
      <c r="H17" s="8">
        <v>19996.2</v>
      </c>
      <c r="I17" s="8">
        <v>19996.2</v>
      </c>
      <c r="J17" s="8">
        <v>20121.59</v>
      </c>
      <c r="K17" s="8">
        <v>500</v>
      </c>
      <c r="L17" s="8" t="str">
        <f t="shared" si="0"/>
        <v>人民币</v>
      </c>
      <c r="M17" s="8" t="str">
        <f>"1361002292"</f>
        <v>1361002292</v>
      </c>
      <c r="N17" s="8" t="str">
        <f t="shared" si="8"/>
        <v>A368402599</v>
      </c>
      <c r="O17" s="8" t="str">
        <f t="shared" si="2"/>
        <v>300100052893</v>
      </c>
    </row>
    <row r="18" spans="1:15">
      <c r="A18" s="8" t="str">
        <f t="shared" ref="A18:A21" si="11">"20141205"</f>
        <v>20141205</v>
      </c>
      <c r="B18" s="8" t="str">
        <f t="shared" ref="B18:B21" si="12">"20141205"</f>
        <v>20141205</v>
      </c>
      <c r="C18" s="8" t="str">
        <f t="shared" ref="C18:C21" si="13">"证券买入"</f>
        <v>证券买入</v>
      </c>
      <c r="D18" s="8" t="str">
        <f>"601607"</f>
        <v>601607</v>
      </c>
      <c r="E18" s="8" t="str">
        <f>"上海医药"</f>
        <v>上海医药</v>
      </c>
      <c r="F18" s="8">
        <v>16.39</v>
      </c>
      <c r="G18" s="8">
        <v>500</v>
      </c>
      <c r="H18" s="8">
        <v>8195</v>
      </c>
      <c r="I18" s="8">
        <v>-8200.3</v>
      </c>
      <c r="J18" s="8">
        <v>11921.29</v>
      </c>
      <c r="K18" s="8">
        <v>500</v>
      </c>
      <c r="L18" s="8" t="str">
        <f t="shared" si="0"/>
        <v>人民币</v>
      </c>
      <c r="M18" s="8" t="str">
        <f>"1361003683"</f>
        <v>1361003683</v>
      </c>
      <c r="N18" s="8" t="str">
        <f t="shared" si="8"/>
        <v>A368402599</v>
      </c>
      <c r="O18" s="8" t="str">
        <f t="shared" si="2"/>
        <v>300100052893</v>
      </c>
    </row>
    <row r="19" spans="1:15">
      <c r="A19" s="8" t="str">
        <f t="shared" si="11"/>
        <v>20141205</v>
      </c>
      <c r="B19" s="8" t="str">
        <f t="shared" si="12"/>
        <v>20141205</v>
      </c>
      <c r="C19" s="8" t="str">
        <f t="shared" si="13"/>
        <v>证券买入</v>
      </c>
      <c r="D19" s="8" t="str">
        <f t="shared" ref="D19:D25" si="14">"150181"</f>
        <v>150181</v>
      </c>
      <c r="E19" s="8" t="str">
        <f t="shared" ref="E19:E25" si="15">"军工A"</f>
        <v>军工A</v>
      </c>
      <c r="F19" s="8">
        <v>0.835</v>
      </c>
      <c r="G19" s="8">
        <v>14200</v>
      </c>
      <c r="H19" s="8">
        <v>11857</v>
      </c>
      <c r="I19" s="8">
        <v>-11862.93</v>
      </c>
      <c r="J19" s="8">
        <v>58.36</v>
      </c>
      <c r="K19" s="8">
        <v>37654</v>
      </c>
      <c r="L19" s="8" t="str">
        <f t="shared" si="0"/>
        <v>人民币</v>
      </c>
      <c r="M19" s="8" t="str">
        <f>"T4002785"</f>
        <v>T4002785</v>
      </c>
      <c r="N19" s="8" t="str">
        <f t="shared" ref="N19:N25" si="16">"0149593788"</f>
        <v>0149593788</v>
      </c>
      <c r="O19" s="8" t="str">
        <f t="shared" si="2"/>
        <v>300100052893</v>
      </c>
    </row>
    <row r="20" spans="1:15">
      <c r="A20" s="8" t="str">
        <f t="shared" si="11"/>
        <v>20141205</v>
      </c>
      <c r="B20" s="8" t="str">
        <f t="shared" si="12"/>
        <v>20141205</v>
      </c>
      <c r="C20" s="8" t="str">
        <f t="shared" si="10"/>
        <v>证券卖出</v>
      </c>
      <c r="D20" s="8" t="str">
        <f>"511990"</f>
        <v>511990</v>
      </c>
      <c r="E20" s="8" t="str">
        <f>"华宝添益"</f>
        <v>华宝添益</v>
      </c>
      <c r="F20" s="8">
        <v>100.003</v>
      </c>
      <c r="G20" s="8">
        <v>500</v>
      </c>
      <c r="H20" s="8">
        <v>50001.5</v>
      </c>
      <c r="I20" s="8">
        <v>50001.5</v>
      </c>
      <c r="J20" s="8">
        <v>50059.86</v>
      </c>
      <c r="K20" s="8">
        <v>0</v>
      </c>
      <c r="L20" s="8" t="str">
        <f t="shared" si="0"/>
        <v>人民币</v>
      </c>
      <c r="M20" s="8" t="str">
        <f>"1361003892"</f>
        <v>1361003892</v>
      </c>
      <c r="N20" s="8" t="str">
        <f>"A368402599"</f>
        <v>A368402599</v>
      </c>
      <c r="O20" s="8" t="str">
        <f t="shared" si="2"/>
        <v>300100052893</v>
      </c>
    </row>
    <row r="21" spans="1:15">
      <c r="A21" s="8" t="str">
        <f t="shared" si="11"/>
        <v>20141205</v>
      </c>
      <c r="B21" s="8" t="str">
        <f t="shared" si="12"/>
        <v>20141205</v>
      </c>
      <c r="C21" s="8" t="str">
        <f t="shared" si="13"/>
        <v>证券买入</v>
      </c>
      <c r="D21" s="8" t="str">
        <f t="shared" si="14"/>
        <v>150181</v>
      </c>
      <c r="E21" s="8" t="str">
        <f t="shared" si="15"/>
        <v>军工A</v>
      </c>
      <c r="F21" s="8">
        <v>0.836</v>
      </c>
      <c r="G21" s="8">
        <v>59700</v>
      </c>
      <c r="H21" s="8">
        <v>49909.2</v>
      </c>
      <c r="I21" s="8">
        <v>-49934.15</v>
      </c>
      <c r="J21" s="8">
        <v>125.71</v>
      </c>
      <c r="K21" s="8">
        <v>97354</v>
      </c>
      <c r="L21" s="8" t="str">
        <f t="shared" si="0"/>
        <v>人民币</v>
      </c>
      <c r="M21" s="8" t="str">
        <f>"T4002896"</f>
        <v>T4002896</v>
      </c>
      <c r="N21" s="8" t="str">
        <f t="shared" si="16"/>
        <v>0149593788</v>
      </c>
      <c r="O21" s="8" t="str">
        <f t="shared" si="2"/>
        <v>300100052893</v>
      </c>
    </row>
    <row r="22" spans="1:15">
      <c r="A22" s="8" t="str">
        <f t="shared" ref="A22:A26" si="17">"20141208"</f>
        <v>20141208</v>
      </c>
      <c r="B22" s="8" t="str">
        <f t="shared" ref="B22:B25" si="18">"20141208"</f>
        <v>20141208</v>
      </c>
      <c r="C22" s="8" t="str">
        <f t="shared" si="10"/>
        <v>证券卖出</v>
      </c>
      <c r="D22" s="8" t="str">
        <f>"601607"</f>
        <v>601607</v>
      </c>
      <c r="E22" s="8" t="str">
        <f>"上海医药"</f>
        <v>上海医药</v>
      </c>
      <c r="F22" s="8">
        <v>15.77</v>
      </c>
      <c r="G22" s="8">
        <v>500</v>
      </c>
      <c r="H22" s="8">
        <v>7885</v>
      </c>
      <c r="I22" s="8">
        <v>7871.82</v>
      </c>
      <c r="J22" s="8">
        <v>7997.53</v>
      </c>
      <c r="K22" s="8">
        <v>0</v>
      </c>
      <c r="L22" s="8" t="str">
        <f t="shared" si="0"/>
        <v>人民币</v>
      </c>
      <c r="M22" s="8" t="str">
        <f>"1361001866"</f>
        <v>1361001866</v>
      </c>
      <c r="N22" s="8" t="str">
        <f>"A368402599"</f>
        <v>A368402599</v>
      </c>
      <c r="O22" s="8" t="str">
        <f t="shared" si="2"/>
        <v>300100052893</v>
      </c>
    </row>
    <row r="23" spans="1:15">
      <c r="A23" s="8" t="str">
        <f t="shared" si="17"/>
        <v>20141208</v>
      </c>
      <c r="B23" s="8" t="str">
        <f t="shared" si="18"/>
        <v>20141208</v>
      </c>
      <c r="C23" s="8" t="str">
        <f t="shared" si="10"/>
        <v>证券卖出</v>
      </c>
      <c r="D23" s="8" t="str">
        <f t="shared" si="14"/>
        <v>150181</v>
      </c>
      <c r="E23" s="8" t="str">
        <f t="shared" si="15"/>
        <v>军工A</v>
      </c>
      <c r="F23" s="8">
        <v>0.855</v>
      </c>
      <c r="G23" s="8">
        <v>50000</v>
      </c>
      <c r="H23" s="8">
        <v>42750</v>
      </c>
      <c r="I23" s="8">
        <v>42728.62</v>
      </c>
      <c r="J23" s="8">
        <v>50726.15</v>
      </c>
      <c r="K23" s="8">
        <v>47354</v>
      </c>
      <c r="L23" s="8" t="str">
        <f t="shared" si="0"/>
        <v>人民币</v>
      </c>
      <c r="M23" s="8" t="str">
        <f>"T4001708"</f>
        <v>T4001708</v>
      </c>
      <c r="N23" s="8" t="str">
        <f t="shared" si="16"/>
        <v>0149593788</v>
      </c>
      <c r="O23" s="8" t="str">
        <f t="shared" si="2"/>
        <v>300100052893</v>
      </c>
    </row>
    <row r="24" spans="1:15">
      <c r="A24" s="8" t="str">
        <f t="shared" si="17"/>
        <v>20141208</v>
      </c>
      <c r="B24" s="8" t="str">
        <f t="shared" si="18"/>
        <v>20141208</v>
      </c>
      <c r="C24" s="8" t="str">
        <f t="shared" si="10"/>
        <v>证券卖出</v>
      </c>
      <c r="D24" s="8" t="str">
        <f t="shared" si="14"/>
        <v>150181</v>
      </c>
      <c r="E24" s="8" t="str">
        <f t="shared" si="15"/>
        <v>军工A</v>
      </c>
      <c r="F24" s="8">
        <v>0.855</v>
      </c>
      <c r="G24" s="8">
        <v>9700</v>
      </c>
      <c r="H24" s="8">
        <v>8293.5</v>
      </c>
      <c r="I24" s="8">
        <v>8288.5</v>
      </c>
      <c r="J24" s="8">
        <v>59014.65</v>
      </c>
      <c r="K24" s="8">
        <v>37654</v>
      </c>
      <c r="L24" s="8" t="str">
        <f t="shared" si="0"/>
        <v>人民币</v>
      </c>
      <c r="M24" s="8" t="str">
        <f>"T4001776"</f>
        <v>T4001776</v>
      </c>
      <c r="N24" s="8" t="str">
        <f t="shared" si="16"/>
        <v>0149593788</v>
      </c>
      <c r="O24" s="8" t="str">
        <f t="shared" si="2"/>
        <v>300100052893</v>
      </c>
    </row>
    <row r="25" spans="1:15">
      <c r="A25" s="8" t="str">
        <f t="shared" si="17"/>
        <v>20141208</v>
      </c>
      <c r="B25" s="8" t="str">
        <f t="shared" si="18"/>
        <v>20141208</v>
      </c>
      <c r="C25" s="8" t="str">
        <f t="shared" si="10"/>
        <v>证券卖出</v>
      </c>
      <c r="D25" s="8" t="str">
        <f t="shared" si="14"/>
        <v>150181</v>
      </c>
      <c r="E25" s="8" t="str">
        <f t="shared" si="15"/>
        <v>军工A</v>
      </c>
      <c r="F25" s="8">
        <v>0.845</v>
      </c>
      <c r="G25" s="8">
        <v>14200</v>
      </c>
      <c r="H25" s="8">
        <v>11999</v>
      </c>
      <c r="I25" s="8">
        <v>11993</v>
      </c>
      <c r="J25" s="8">
        <v>71007.65</v>
      </c>
      <c r="K25" s="8">
        <v>23454</v>
      </c>
      <c r="L25" s="8" t="str">
        <f t="shared" si="0"/>
        <v>人民币</v>
      </c>
      <c r="M25" s="8" t="str">
        <f>"T4005210"</f>
        <v>T4005210</v>
      </c>
      <c r="N25" s="8" t="str">
        <f t="shared" si="16"/>
        <v>0149593788</v>
      </c>
      <c r="O25" s="8" t="str">
        <f t="shared" si="2"/>
        <v>300100052893</v>
      </c>
    </row>
    <row r="26" spans="1:15">
      <c r="A26" s="8" t="str">
        <f t="shared" si="17"/>
        <v>20141208</v>
      </c>
      <c r="B26" s="8" t="str">
        <f>"20141205"</f>
        <v>20141205</v>
      </c>
      <c r="C26" s="8" t="str">
        <f>"ETF 申购退款"</f>
        <v>ETF 申购退款</v>
      </c>
      <c r="D26" s="8" t="str">
        <f>"511990"</f>
        <v>511990</v>
      </c>
      <c r="E26" s="8" t="str">
        <f>"华宝添益"</f>
        <v>华宝添益</v>
      </c>
      <c r="F26" s="8">
        <v>0</v>
      </c>
      <c r="G26" s="8">
        <v>0</v>
      </c>
      <c r="H26" s="8">
        <v>60.33</v>
      </c>
      <c r="I26" s="8">
        <v>60.33</v>
      </c>
      <c r="J26" s="8">
        <v>71067.98</v>
      </c>
      <c r="K26" s="8">
        <v>0</v>
      </c>
      <c r="L26" s="8" t="str">
        <f t="shared" si="0"/>
        <v>人民币</v>
      </c>
      <c r="N26" s="8" t="str">
        <f>"A368402599"</f>
        <v>A368402599</v>
      </c>
      <c r="O26" s="8" t="str">
        <f t="shared" si="2"/>
        <v>300100052893</v>
      </c>
    </row>
    <row r="27" spans="1:15">
      <c r="A27" s="8" t="str">
        <f>"20141209"</f>
        <v>20141209</v>
      </c>
      <c r="B27" s="8" t="str">
        <f>"20141208"</f>
        <v>20141208</v>
      </c>
      <c r="C27" s="8" t="str">
        <f>"开放基金申购"</f>
        <v>开放基金申购</v>
      </c>
      <c r="D27" s="8" t="str">
        <f>"161024"</f>
        <v>161024</v>
      </c>
      <c r="E27" s="8" t="str">
        <f>"富国军工"</f>
        <v>富国军工</v>
      </c>
      <c r="F27" s="8">
        <v>1.094</v>
      </c>
      <c r="G27" s="8">
        <v>45161</v>
      </c>
      <c r="H27" s="8">
        <v>49406.13</v>
      </c>
      <c r="I27" s="8">
        <v>-49999.02</v>
      </c>
      <c r="J27" s="8">
        <v>21068.96</v>
      </c>
      <c r="K27" s="8">
        <v>45161</v>
      </c>
      <c r="L27" s="8" t="str">
        <f t="shared" si="0"/>
        <v>人民币</v>
      </c>
      <c r="M27" s="8" t="str">
        <f>"T4006022"</f>
        <v>T4006022</v>
      </c>
      <c r="N27" s="8" t="str">
        <f t="shared" ref="N27:N36" si="19">"0149593788"</f>
        <v>0149593788</v>
      </c>
      <c r="O27" s="8" t="str">
        <f t="shared" si="2"/>
        <v>300100052893</v>
      </c>
    </row>
    <row r="28" spans="1:15">
      <c r="A28" s="8" t="str">
        <f t="shared" ref="A28:A31" si="20">"20141210"</f>
        <v>20141210</v>
      </c>
      <c r="B28" s="8" t="str">
        <f t="shared" ref="B28:B31" si="21">"20141210"</f>
        <v>20141210</v>
      </c>
      <c r="C28" s="8" t="str">
        <f>"开放基金拆分减股"</f>
        <v>开放基金拆分减股</v>
      </c>
      <c r="D28" s="8" t="str">
        <f>"161024"</f>
        <v>161024</v>
      </c>
      <c r="E28" s="8" t="str">
        <f>"富国军工"</f>
        <v>富国军工</v>
      </c>
      <c r="F28" s="8">
        <v>0</v>
      </c>
      <c r="G28" s="8">
        <v>45160</v>
      </c>
      <c r="H28" s="8">
        <v>0</v>
      </c>
      <c r="I28" s="8">
        <v>0</v>
      </c>
      <c r="J28" s="8">
        <v>21068.96</v>
      </c>
      <c r="K28" s="8">
        <v>1</v>
      </c>
      <c r="L28" s="8" t="str">
        <f t="shared" si="0"/>
        <v>人民币</v>
      </c>
      <c r="M28" s="8" t="str">
        <f t="shared" ref="M28:M30" si="22">"T4000439"</f>
        <v>T4000439</v>
      </c>
      <c r="N28" s="8" t="str">
        <f t="shared" si="19"/>
        <v>0149593788</v>
      </c>
      <c r="O28" s="8" t="str">
        <f t="shared" si="2"/>
        <v>300100052893</v>
      </c>
    </row>
    <row r="29" spans="1:15">
      <c r="A29" s="8" t="str">
        <f t="shared" si="20"/>
        <v>20141210</v>
      </c>
      <c r="B29" s="8" t="str">
        <f t="shared" si="21"/>
        <v>20141210</v>
      </c>
      <c r="C29" s="8" t="str">
        <f t="shared" ref="C29:C34" si="23">"开放基金拆分增股"</f>
        <v>开放基金拆分增股</v>
      </c>
      <c r="D29" s="8" t="str">
        <f t="shared" ref="D29:D33" si="24">"150181"</f>
        <v>150181</v>
      </c>
      <c r="E29" s="8" t="str">
        <f t="shared" ref="E29:E33" si="25">"军工A"</f>
        <v>军工A</v>
      </c>
      <c r="F29" s="8">
        <v>0.806</v>
      </c>
      <c r="G29" s="8">
        <v>22580</v>
      </c>
      <c r="H29" s="8">
        <v>0</v>
      </c>
      <c r="I29" s="8">
        <v>0</v>
      </c>
      <c r="J29" s="8">
        <v>21068.96</v>
      </c>
      <c r="K29" s="8">
        <v>46034</v>
      </c>
      <c r="L29" s="8" t="str">
        <f t="shared" si="0"/>
        <v>人民币</v>
      </c>
      <c r="M29" s="8" t="str">
        <f t="shared" si="22"/>
        <v>T4000439</v>
      </c>
      <c r="N29" s="8" t="str">
        <f t="shared" si="19"/>
        <v>0149593788</v>
      </c>
      <c r="O29" s="8" t="str">
        <f t="shared" si="2"/>
        <v>300100052893</v>
      </c>
    </row>
    <row r="30" spans="1:15">
      <c r="A30" s="8" t="str">
        <f t="shared" si="20"/>
        <v>20141210</v>
      </c>
      <c r="B30" s="8" t="str">
        <f t="shared" si="21"/>
        <v>20141210</v>
      </c>
      <c r="C30" s="8" t="str">
        <f t="shared" si="23"/>
        <v>开放基金拆分增股</v>
      </c>
      <c r="D30" s="8" t="str">
        <f>"150182"</f>
        <v>150182</v>
      </c>
      <c r="E30" s="8" t="str">
        <f>"军工B"</f>
        <v>军工B</v>
      </c>
      <c r="F30" s="8">
        <v>1.618</v>
      </c>
      <c r="G30" s="8">
        <v>22580</v>
      </c>
      <c r="H30" s="8">
        <v>0</v>
      </c>
      <c r="I30" s="8">
        <v>0</v>
      </c>
      <c r="J30" s="8">
        <v>21068.96</v>
      </c>
      <c r="K30" s="8">
        <v>22580</v>
      </c>
      <c r="L30" s="8" t="str">
        <f t="shared" si="0"/>
        <v>人民币</v>
      </c>
      <c r="M30" s="8" t="str">
        <f t="shared" si="22"/>
        <v>T4000439</v>
      </c>
      <c r="N30" s="8" t="str">
        <f t="shared" si="19"/>
        <v>0149593788</v>
      </c>
      <c r="O30" s="8" t="str">
        <f t="shared" si="2"/>
        <v>300100052893</v>
      </c>
    </row>
    <row r="31" spans="1:15">
      <c r="A31" s="8" t="str">
        <f t="shared" si="20"/>
        <v>20141210</v>
      </c>
      <c r="B31" s="8" t="str">
        <f t="shared" si="21"/>
        <v>20141210</v>
      </c>
      <c r="C31" s="8" t="str">
        <f>"证券买入"</f>
        <v>证券买入</v>
      </c>
      <c r="D31" s="8" t="str">
        <f t="shared" si="24"/>
        <v>150181</v>
      </c>
      <c r="E31" s="8" t="str">
        <f t="shared" si="25"/>
        <v>军工A</v>
      </c>
      <c r="F31" s="8">
        <v>0.818</v>
      </c>
      <c r="G31" s="8">
        <v>25600</v>
      </c>
      <c r="H31" s="8">
        <v>20940.8</v>
      </c>
      <c r="I31" s="8">
        <v>-20951.27</v>
      </c>
      <c r="J31" s="8">
        <v>117.69</v>
      </c>
      <c r="K31" s="8">
        <v>71634</v>
      </c>
      <c r="L31" s="8" t="str">
        <f t="shared" si="0"/>
        <v>人民币</v>
      </c>
      <c r="M31" s="8" t="str">
        <f>"T4005065"</f>
        <v>T4005065</v>
      </c>
      <c r="N31" s="8" t="str">
        <f t="shared" si="19"/>
        <v>0149593788</v>
      </c>
      <c r="O31" s="8" t="str">
        <f t="shared" si="2"/>
        <v>300100052893</v>
      </c>
    </row>
    <row r="32" spans="1:15">
      <c r="A32" s="8" t="str">
        <f>"20141211"</f>
        <v>20141211</v>
      </c>
      <c r="B32" s="8" t="str">
        <f>"20141211"</f>
        <v>20141211</v>
      </c>
      <c r="C32" s="8" t="str">
        <f>"证券卖出"</f>
        <v>证券卖出</v>
      </c>
      <c r="D32" s="8" t="str">
        <f>"150182"</f>
        <v>150182</v>
      </c>
      <c r="E32" s="8" t="str">
        <f>"军工B"</f>
        <v>军工B</v>
      </c>
      <c r="F32" s="8">
        <v>1.484</v>
      </c>
      <c r="G32" s="8">
        <v>22580</v>
      </c>
      <c r="H32" s="8">
        <v>33508.72</v>
      </c>
      <c r="I32" s="8">
        <v>33491.97</v>
      </c>
      <c r="J32" s="8">
        <v>33609.66</v>
      </c>
      <c r="K32" s="8">
        <v>0</v>
      </c>
      <c r="L32" s="8" t="str">
        <f t="shared" si="0"/>
        <v>人民币</v>
      </c>
      <c r="M32" s="8" t="str">
        <f>"T4001854"</f>
        <v>T4001854</v>
      </c>
      <c r="N32" s="8" t="str">
        <f t="shared" si="19"/>
        <v>0149593788</v>
      </c>
      <c r="O32" s="8" t="str">
        <f t="shared" si="2"/>
        <v>300100052893</v>
      </c>
    </row>
    <row r="33" spans="1:15">
      <c r="A33" s="8" t="str">
        <f>"20141211"</f>
        <v>20141211</v>
      </c>
      <c r="B33" s="8" t="str">
        <f>"20141211"</f>
        <v>20141211</v>
      </c>
      <c r="C33" s="8" t="str">
        <f>"证券买入"</f>
        <v>证券买入</v>
      </c>
      <c r="D33" s="8" t="str">
        <f t="shared" si="24"/>
        <v>150181</v>
      </c>
      <c r="E33" s="8" t="str">
        <f t="shared" si="25"/>
        <v>军工A</v>
      </c>
      <c r="F33" s="8">
        <v>0.788</v>
      </c>
      <c r="G33" s="8">
        <v>40000</v>
      </c>
      <c r="H33" s="8">
        <v>31520</v>
      </c>
      <c r="I33" s="8">
        <v>-31535.76</v>
      </c>
      <c r="J33" s="8">
        <v>2073.9</v>
      </c>
      <c r="K33" s="8">
        <v>111634</v>
      </c>
      <c r="L33" s="8" t="str">
        <f t="shared" si="0"/>
        <v>人民币</v>
      </c>
      <c r="M33" s="8" t="str">
        <f>"T4002868"</f>
        <v>T4002868</v>
      </c>
      <c r="N33" s="8" t="str">
        <f t="shared" si="19"/>
        <v>0149593788</v>
      </c>
      <c r="O33" s="8" t="str">
        <f t="shared" si="2"/>
        <v>300100052893</v>
      </c>
    </row>
    <row r="34" spans="1:15">
      <c r="A34" s="8" t="str">
        <f t="shared" ref="A34:A36" si="26">"20141216"</f>
        <v>20141216</v>
      </c>
      <c r="B34" s="8" t="str">
        <f t="shared" ref="B34:B36" si="27">"20141216"</f>
        <v>20141216</v>
      </c>
      <c r="C34" s="8" t="str">
        <f t="shared" si="23"/>
        <v>开放基金拆分增股</v>
      </c>
      <c r="D34" s="8" t="str">
        <f t="shared" ref="D34:D36" si="28">"161024"</f>
        <v>161024</v>
      </c>
      <c r="E34" s="8" t="str">
        <f t="shared" ref="E34:E36" si="29">"富国军工"</f>
        <v>富国军工</v>
      </c>
      <c r="F34" s="8">
        <v>0</v>
      </c>
      <c r="G34" s="8">
        <v>1120</v>
      </c>
      <c r="H34" s="8">
        <v>0</v>
      </c>
      <c r="I34" s="8">
        <v>0</v>
      </c>
      <c r="J34" s="8">
        <v>2073.9</v>
      </c>
      <c r="K34" s="8">
        <v>1121</v>
      </c>
      <c r="L34" s="8" t="str">
        <f t="shared" si="0"/>
        <v>人民币</v>
      </c>
      <c r="N34" s="8" t="str">
        <f t="shared" si="19"/>
        <v>0149593788</v>
      </c>
      <c r="O34" s="8" t="str">
        <f t="shared" si="2"/>
        <v>300100052893</v>
      </c>
    </row>
    <row r="35" spans="1:15">
      <c r="A35" s="8" t="str">
        <f t="shared" si="26"/>
        <v>20141216</v>
      </c>
      <c r="B35" s="8" t="str">
        <f t="shared" si="27"/>
        <v>20141216</v>
      </c>
      <c r="C35" s="8" t="str">
        <f>"开放基金合并减股"</f>
        <v>开放基金合并减股</v>
      </c>
      <c r="D35" s="8" t="str">
        <f t="shared" si="28"/>
        <v>161024</v>
      </c>
      <c r="E35" s="8" t="str">
        <f t="shared" si="29"/>
        <v>富国军工</v>
      </c>
      <c r="F35" s="8">
        <v>0</v>
      </c>
      <c r="G35" s="8">
        <v>1</v>
      </c>
      <c r="H35" s="8">
        <v>0</v>
      </c>
      <c r="I35" s="8">
        <v>0</v>
      </c>
      <c r="J35" s="8">
        <v>2073.9</v>
      </c>
      <c r="K35" s="8">
        <v>1120</v>
      </c>
      <c r="L35" s="8" t="str">
        <f t="shared" si="0"/>
        <v>人民币</v>
      </c>
      <c r="N35" s="8" t="str">
        <f t="shared" si="19"/>
        <v>0149593788</v>
      </c>
      <c r="O35" s="8" t="str">
        <f t="shared" si="2"/>
        <v>300100052893</v>
      </c>
    </row>
    <row r="36" spans="1:15">
      <c r="A36" s="8" t="str">
        <f t="shared" si="26"/>
        <v>20141216</v>
      </c>
      <c r="B36" s="8" t="str">
        <f t="shared" si="27"/>
        <v>20141216</v>
      </c>
      <c r="C36" s="8" t="str">
        <f>"开放基金拆分增股"</f>
        <v>开放基金拆分增股</v>
      </c>
      <c r="D36" s="8" t="str">
        <f t="shared" si="28"/>
        <v>161024</v>
      </c>
      <c r="E36" s="8" t="str">
        <f t="shared" si="29"/>
        <v>富国军工</v>
      </c>
      <c r="F36" s="8">
        <v>0</v>
      </c>
      <c r="G36" s="8">
        <v>1</v>
      </c>
      <c r="H36" s="8">
        <v>0</v>
      </c>
      <c r="I36" s="8">
        <v>0</v>
      </c>
      <c r="J36" s="8">
        <v>2073.9</v>
      </c>
      <c r="K36" s="8">
        <v>1121</v>
      </c>
      <c r="L36" s="8" t="str">
        <f t="shared" si="0"/>
        <v>人民币</v>
      </c>
      <c r="N36" s="8" t="str">
        <f t="shared" si="19"/>
        <v>0149593788</v>
      </c>
      <c r="O36" s="8" t="str">
        <f t="shared" si="2"/>
        <v>300100052893</v>
      </c>
    </row>
    <row r="37" spans="1:15">
      <c r="A37" s="8" t="str">
        <f>"20141219"</f>
        <v>20141219</v>
      </c>
      <c r="B37" s="8" t="str">
        <f>"20141219"</f>
        <v>20141219</v>
      </c>
      <c r="C37" s="8" t="str">
        <f>"银行转证券"</f>
        <v>银行转证券</v>
      </c>
      <c r="F37" s="8">
        <v>0</v>
      </c>
      <c r="G37" s="8">
        <v>0</v>
      </c>
      <c r="H37" s="8">
        <v>0</v>
      </c>
      <c r="I37" s="8">
        <v>18000</v>
      </c>
      <c r="J37" s="8">
        <v>20073.9</v>
      </c>
      <c r="K37" s="8">
        <v>0</v>
      </c>
      <c r="L37" s="8" t="str">
        <f t="shared" si="0"/>
        <v>人民币</v>
      </c>
      <c r="O37" s="8" t="str">
        <f t="shared" si="2"/>
        <v>300100052893</v>
      </c>
    </row>
    <row r="38" spans="1:15">
      <c r="A38" s="8" t="str">
        <f>"20141219"</f>
        <v>20141219</v>
      </c>
      <c r="B38" s="8" t="str">
        <f>"20141219"</f>
        <v>20141219</v>
      </c>
      <c r="C38" s="8" t="str">
        <f>"证券买入"</f>
        <v>证券买入</v>
      </c>
      <c r="D38" s="8" t="str">
        <f>"511990"</f>
        <v>511990</v>
      </c>
      <c r="E38" s="8" t="str">
        <f>"华宝添益"</f>
        <v>华宝添益</v>
      </c>
      <c r="F38" s="8">
        <v>99.799</v>
      </c>
      <c r="G38" s="8">
        <v>200</v>
      </c>
      <c r="H38" s="8">
        <v>19959.8</v>
      </c>
      <c r="I38" s="8">
        <v>-19959.8</v>
      </c>
      <c r="J38" s="8">
        <v>114.1</v>
      </c>
      <c r="K38" s="8">
        <v>200</v>
      </c>
      <c r="L38" s="8" t="str">
        <f t="shared" si="0"/>
        <v>人民币</v>
      </c>
      <c r="M38" s="8" t="str">
        <f>"1361002659"</f>
        <v>1361002659</v>
      </c>
      <c r="N38" s="8" t="str">
        <f t="shared" ref="N38:N41" si="30">"A368402599"</f>
        <v>A368402599</v>
      </c>
      <c r="O38" s="8" t="str">
        <f t="shared" si="2"/>
        <v>300100052893</v>
      </c>
    </row>
    <row r="39" spans="1:15">
      <c r="A39" s="8" t="str">
        <f>"20141222"</f>
        <v>20141222</v>
      </c>
      <c r="B39" s="8" t="str">
        <f t="shared" ref="B39:B41" si="31">"20141222"</f>
        <v>20141222</v>
      </c>
      <c r="C39" s="8" t="str">
        <f>"利息归本"</f>
        <v>利息归本</v>
      </c>
      <c r="F39" s="8">
        <v>0</v>
      </c>
      <c r="G39" s="8">
        <v>0</v>
      </c>
      <c r="H39" s="8">
        <v>0</v>
      </c>
      <c r="I39" s="8">
        <v>6.2</v>
      </c>
      <c r="J39" s="8">
        <v>120.3</v>
      </c>
      <c r="K39" s="8">
        <v>0</v>
      </c>
      <c r="L39" s="8" t="str">
        <f t="shared" si="0"/>
        <v>人民币</v>
      </c>
      <c r="O39" s="8" t="str">
        <f t="shared" si="2"/>
        <v>300100052893</v>
      </c>
    </row>
    <row r="40" spans="1:15">
      <c r="A40" s="8" t="str">
        <f>"20141223"</f>
        <v>20141223</v>
      </c>
      <c r="B40" s="8" t="str">
        <f t="shared" si="31"/>
        <v>20141222</v>
      </c>
      <c r="C40" s="8" t="str">
        <f>"ETF 基金赎回"</f>
        <v>ETF 基金赎回</v>
      </c>
      <c r="D40" s="8" t="str">
        <f>"511991"</f>
        <v>511991</v>
      </c>
      <c r="E40" s="8" t="str">
        <f>"添益申赎"</f>
        <v>添益申赎</v>
      </c>
      <c r="F40" s="8">
        <v>0</v>
      </c>
      <c r="G40" s="8">
        <v>200</v>
      </c>
      <c r="H40" s="8">
        <v>0</v>
      </c>
      <c r="I40" s="8">
        <v>0</v>
      </c>
      <c r="J40" s="8">
        <v>120.3</v>
      </c>
      <c r="K40" s="8">
        <v>0</v>
      </c>
      <c r="L40" s="8" t="str">
        <f t="shared" si="0"/>
        <v>人民币</v>
      </c>
      <c r="M40" s="8" t="str">
        <f>"1361007030"</f>
        <v>1361007030</v>
      </c>
      <c r="N40" s="8" t="str">
        <f t="shared" si="30"/>
        <v>A368402599</v>
      </c>
      <c r="O40" s="8" t="str">
        <f t="shared" si="2"/>
        <v>300100052893</v>
      </c>
    </row>
    <row r="41" spans="1:15">
      <c r="A41" s="8" t="str">
        <f>"20141223"</f>
        <v>20141223</v>
      </c>
      <c r="B41" s="8" t="str">
        <f t="shared" si="31"/>
        <v>20141222</v>
      </c>
      <c r="C41" s="8" t="str">
        <f>"ETF 申购退款"</f>
        <v>ETF 申购退款</v>
      </c>
      <c r="D41" s="8" t="str">
        <f>"511990"</f>
        <v>511990</v>
      </c>
      <c r="E41" s="8" t="str">
        <f>"华宝添益"</f>
        <v>华宝添益</v>
      </c>
      <c r="F41" s="8">
        <v>0</v>
      </c>
      <c r="G41" s="8">
        <v>0</v>
      </c>
      <c r="H41" s="8">
        <v>20007.63</v>
      </c>
      <c r="I41" s="8">
        <v>20007.63</v>
      </c>
      <c r="J41" s="8">
        <v>20127.93</v>
      </c>
      <c r="K41" s="8">
        <v>0</v>
      </c>
      <c r="L41" s="8" t="str">
        <f t="shared" si="0"/>
        <v>人民币</v>
      </c>
      <c r="N41" s="8" t="str">
        <f t="shared" si="30"/>
        <v>A368402599</v>
      </c>
      <c r="O41" s="8" t="str">
        <f t="shared" si="2"/>
        <v>300100052893</v>
      </c>
    </row>
    <row r="42" spans="1:15">
      <c r="A42" s="8" t="str">
        <f>"20141224"</f>
        <v>20141224</v>
      </c>
      <c r="B42" s="8" t="str">
        <f>"20141224"</f>
        <v>20141224</v>
      </c>
      <c r="C42" s="8" t="str">
        <f>"证券转银行"</f>
        <v>证券转银行</v>
      </c>
      <c r="F42" s="8">
        <v>0</v>
      </c>
      <c r="G42" s="8">
        <v>0</v>
      </c>
      <c r="H42" s="8">
        <v>0</v>
      </c>
      <c r="I42" s="8">
        <v>-20000</v>
      </c>
      <c r="J42" s="8">
        <v>127.93</v>
      </c>
      <c r="K42" s="8">
        <v>0</v>
      </c>
      <c r="L42" s="8" t="str">
        <f t="shared" si="0"/>
        <v>人民币</v>
      </c>
      <c r="O42" s="8" t="str">
        <f t="shared" si="2"/>
        <v>300100052893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workbookViewId="0">
      <selection activeCell="A2" sqref="A2:K22"/>
    </sheetView>
  </sheetViews>
  <sheetFormatPr defaultColWidth="9" defaultRowHeight="13.5"/>
  <cols>
    <col min="1" max="16384" width="9" style="8"/>
  </cols>
  <sheetData>
    <row r="1" spans="1:15">
      <c r="A1" s="8" t="str">
        <f>"成交日期"</f>
        <v>成交日期</v>
      </c>
      <c r="B1" s="8" t="str">
        <f>"委托日期"</f>
        <v>委托日期</v>
      </c>
      <c r="C1" s="8" t="str">
        <f>"业务类型"</f>
        <v>业务类型</v>
      </c>
      <c r="D1" s="8" t="str">
        <f>"证券代码"</f>
        <v>证券代码</v>
      </c>
      <c r="E1" s="8" t="str">
        <f>"证券名称"</f>
        <v>证券名称</v>
      </c>
      <c r="F1" s="8" t="str">
        <f>"成交价格"</f>
        <v>成交价格</v>
      </c>
      <c r="G1" s="8" t="str">
        <f>"成交数量"</f>
        <v>成交数量</v>
      </c>
      <c r="H1" s="8" t="str">
        <f>"成交金额"</f>
        <v>成交金额</v>
      </c>
      <c r="I1" s="8" t="str">
        <f>"发生金额"</f>
        <v>发生金额</v>
      </c>
      <c r="J1" s="8" t="str">
        <f>"资金余额"</f>
        <v>资金余额</v>
      </c>
      <c r="K1" s="8" t="str">
        <f>"当前持仓"</f>
        <v>当前持仓</v>
      </c>
      <c r="L1" s="8" t="str">
        <f>"币种"</f>
        <v>币种</v>
      </c>
      <c r="M1" s="8" t="str">
        <f>"协议编号"</f>
        <v>协议编号</v>
      </c>
      <c r="N1" s="8" t="str">
        <f>"股东代码"</f>
        <v>股东代码</v>
      </c>
      <c r="O1" s="8" t="str">
        <f>"产品账号"</f>
        <v>产品账号</v>
      </c>
    </row>
    <row r="2" spans="1:15">
      <c r="A2" s="8" t="str">
        <f>"20150106"</f>
        <v>20150106</v>
      </c>
      <c r="B2" s="8" t="str">
        <f>"20150106"</f>
        <v>20150106</v>
      </c>
      <c r="C2" s="8" t="str">
        <f>"股份转出"</f>
        <v>股份转出</v>
      </c>
      <c r="D2" s="8" t="str">
        <f>"150181"</f>
        <v>150181</v>
      </c>
      <c r="E2" s="8" t="str">
        <f>"军工A"</f>
        <v>军工A</v>
      </c>
      <c r="F2" s="8">
        <v>0</v>
      </c>
      <c r="G2" s="8">
        <v>71634</v>
      </c>
      <c r="H2" s="8">
        <v>0</v>
      </c>
      <c r="I2" s="8">
        <v>0</v>
      </c>
      <c r="J2" s="8">
        <v>127.93</v>
      </c>
      <c r="K2" s="8">
        <v>40000</v>
      </c>
      <c r="L2" s="8" t="str">
        <f t="shared" ref="L2:L22" si="0">"人民币"</f>
        <v>人民币</v>
      </c>
      <c r="M2" s="8" t="str">
        <f>"T4000633"</f>
        <v>T4000633</v>
      </c>
      <c r="N2" s="8" t="str">
        <f>"0149593788"</f>
        <v>0149593788</v>
      </c>
      <c r="O2" s="8" t="str">
        <f t="shared" ref="O2:O22" si="1">"300100052893"</f>
        <v>300100052893</v>
      </c>
    </row>
    <row r="3" spans="1:15">
      <c r="A3" s="8" t="str">
        <f>"20150106"</f>
        <v>20150106</v>
      </c>
      <c r="B3" s="8" t="str">
        <f>"20150106"</f>
        <v>20150106</v>
      </c>
      <c r="C3" s="8" t="str">
        <f>"证券卖出"</f>
        <v>证券卖出</v>
      </c>
      <c r="D3" s="8" t="str">
        <f>"150181"</f>
        <v>150181</v>
      </c>
      <c r="E3" s="8" t="str">
        <f>"军工A"</f>
        <v>军工A</v>
      </c>
      <c r="F3" s="8">
        <v>0.829</v>
      </c>
      <c r="G3" s="8">
        <v>40000</v>
      </c>
      <c r="H3" s="8">
        <v>33160</v>
      </c>
      <c r="I3" s="8">
        <v>33143.42</v>
      </c>
      <c r="J3" s="8">
        <v>33271.35</v>
      </c>
      <c r="K3" s="8">
        <v>0</v>
      </c>
      <c r="L3" s="8" t="str">
        <f t="shared" si="0"/>
        <v>人民币</v>
      </c>
      <c r="M3" s="8" t="str">
        <f>"T4000923"</f>
        <v>T4000923</v>
      </c>
      <c r="N3" s="8" t="str">
        <f>"0149593788"</f>
        <v>0149593788</v>
      </c>
      <c r="O3" s="8" t="str">
        <f t="shared" si="1"/>
        <v>300100052893</v>
      </c>
    </row>
    <row r="4" spans="1:15">
      <c r="A4" s="8" t="str">
        <f>"20150106"</f>
        <v>20150106</v>
      </c>
      <c r="B4" s="8" t="str">
        <f>"20150106"</f>
        <v>20150106</v>
      </c>
      <c r="C4" s="8" t="str">
        <f t="shared" ref="C4:C8" si="2">"证券买入"</f>
        <v>证券买入</v>
      </c>
      <c r="D4" s="8" t="str">
        <f>"600219"</f>
        <v>600219</v>
      </c>
      <c r="E4" s="8" t="str">
        <f>"南山铝业"</f>
        <v>南山铝业</v>
      </c>
      <c r="F4" s="8">
        <v>10.13</v>
      </c>
      <c r="G4" s="8">
        <v>1000</v>
      </c>
      <c r="H4" s="8">
        <v>10130</v>
      </c>
      <c r="I4" s="8">
        <v>-10135.67</v>
      </c>
      <c r="J4" s="8">
        <v>23135.68</v>
      </c>
      <c r="K4" s="8">
        <v>1000</v>
      </c>
      <c r="L4" s="8" t="str">
        <f t="shared" si="0"/>
        <v>人民币</v>
      </c>
      <c r="M4" s="8" t="str">
        <f>"1361007106"</f>
        <v>1361007106</v>
      </c>
      <c r="N4" s="8" t="str">
        <f t="shared" ref="N4:N11" si="3">"A368402599"</f>
        <v>A368402599</v>
      </c>
      <c r="O4" s="8" t="str">
        <f t="shared" si="1"/>
        <v>300100052893</v>
      </c>
    </row>
    <row r="5" spans="1:15">
      <c r="A5" s="8" t="str">
        <f>"20150106"</f>
        <v>20150106</v>
      </c>
      <c r="B5" s="8" t="str">
        <f>"20150106"</f>
        <v>20150106</v>
      </c>
      <c r="C5" s="8" t="str">
        <f t="shared" si="2"/>
        <v>证券买入</v>
      </c>
      <c r="D5" s="8" t="str">
        <f t="shared" ref="D5:D8" si="4">"511990"</f>
        <v>511990</v>
      </c>
      <c r="E5" s="8" t="str">
        <f t="shared" ref="E5:E8" si="5">"华宝添益"</f>
        <v>华宝添益</v>
      </c>
      <c r="F5" s="8">
        <v>99.993</v>
      </c>
      <c r="G5" s="8">
        <v>200</v>
      </c>
      <c r="H5" s="8">
        <v>19998.6</v>
      </c>
      <c r="I5" s="8">
        <v>-19998.6</v>
      </c>
      <c r="J5" s="8">
        <v>3137.08</v>
      </c>
      <c r="K5" s="8">
        <v>200</v>
      </c>
      <c r="L5" s="8" t="str">
        <f t="shared" si="0"/>
        <v>人民币</v>
      </c>
      <c r="M5" s="8" t="str">
        <f>"1361010953"</f>
        <v>1361010953</v>
      </c>
      <c r="N5" s="8" t="str">
        <f t="shared" si="3"/>
        <v>A368402599</v>
      </c>
      <c r="O5" s="8" t="str">
        <f t="shared" si="1"/>
        <v>300100052893</v>
      </c>
    </row>
    <row r="6" spans="1:15">
      <c r="A6" s="8" t="str">
        <f>"20150114"</f>
        <v>20150114</v>
      </c>
      <c r="B6" s="8" t="str">
        <f>"20150113"</f>
        <v>20150113</v>
      </c>
      <c r="C6" s="8" t="str">
        <f>"ETF 基金赎回"</f>
        <v>ETF 基金赎回</v>
      </c>
      <c r="D6" s="8" t="str">
        <f>"511991"</f>
        <v>511991</v>
      </c>
      <c r="E6" s="8" t="str">
        <f>"添益申赎"</f>
        <v>添益申赎</v>
      </c>
      <c r="F6" s="8">
        <v>0</v>
      </c>
      <c r="G6" s="8">
        <v>200</v>
      </c>
      <c r="H6" s="8">
        <v>0</v>
      </c>
      <c r="I6" s="8">
        <v>0</v>
      </c>
      <c r="J6" s="8">
        <v>3137.08</v>
      </c>
      <c r="K6" s="8">
        <v>0</v>
      </c>
      <c r="L6" s="8" t="str">
        <f t="shared" si="0"/>
        <v>人民币</v>
      </c>
      <c r="M6" s="8" t="str">
        <f>"1361001282"</f>
        <v>1361001282</v>
      </c>
      <c r="N6" s="8" t="str">
        <f t="shared" si="3"/>
        <v>A368402599</v>
      </c>
      <c r="O6" s="8" t="str">
        <f t="shared" si="1"/>
        <v>300100052893</v>
      </c>
    </row>
    <row r="7" spans="1:15">
      <c r="A7" s="8" t="str">
        <f>"20150114"</f>
        <v>20150114</v>
      </c>
      <c r="B7" s="8" t="str">
        <f>"20150113"</f>
        <v>20150113</v>
      </c>
      <c r="C7" s="8" t="str">
        <f>"ETF 申购退款"</f>
        <v>ETF 申购退款</v>
      </c>
      <c r="D7" s="8" t="str">
        <f t="shared" si="4"/>
        <v>511990</v>
      </c>
      <c r="E7" s="8" t="str">
        <f t="shared" si="5"/>
        <v>华宝添益</v>
      </c>
      <c r="F7" s="8">
        <v>0</v>
      </c>
      <c r="G7" s="8">
        <v>0</v>
      </c>
      <c r="H7" s="8">
        <v>20017.83</v>
      </c>
      <c r="I7" s="8">
        <v>20017.83</v>
      </c>
      <c r="J7" s="8">
        <v>23154.91</v>
      </c>
      <c r="K7" s="8">
        <v>0</v>
      </c>
      <c r="L7" s="8" t="str">
        <f t="shared" si="0"/>
        <v>人民币</v>
      </c>
      <c r="N7" s="8" t="str">
        <f t="shared" si="3"/>
        <v>A368402599</v>
      </c>
      <c r="O7" s="8" t="str">
        <f t="shared" si="1"/>
        <v>300100052893</v>
      </c>
    </row>
    <row r="8" spans="1:15">
      <c r="A8" s="8" t="str">
        <f>"20150202"</f>
        <v>20150202</v>
      </c>
      <c r="B8" s="8" t="str">
        <f t="shared" ref="B8:B10" si="6">"20150202"</f>
        <v>20150202</v>
      </c>
      <c r="C8" s="8" t="str">
        <f t="shared" si="2"/>
        <v>证券买入</v>
      </c>
      <c r="D8" s="8" t="str">
        <f t="shared" si="4"/>
        <v>511990</v>
      </c>
      <c r="E8" s="8" t="str">
        <f t="shared" si="5"/>
        <v>华宝添益</v>
      </c>
      <c r="F8" s="8">
        <v>99.97</v>
      </c>
      <c r="G8" s="8">
        <v>200</v>
      </c>
      <c r="H8" s="8">
        <v>19994</v>
      </c>
      <c r="I8" s="8">
        <v>-19994</v>
      </c>
      <c r="J8" s="8">
        <v>3160.91</v>
      </c>
      <c r="K8" s="8">
        <v>200</v>
      </c>
      <c r="L8" s="8" t="str">
        <f t="shared" si="0"/>
        <v>人民币</v>
      </c>
      <c r="M8" s="8" t="str">
        <f>"1361004622"</f>
        <v>1361004622</v>
      </c>
      <c r="N8" s="8" t="str">
        <f t="shared" si="3"/>
        <v>A368402599</v>
      </c>
      <c r="O8" s="8" t="str">
        <f t="shared" si="1"/>
        <v>300100052893</v>
      </c>
    </row>
    <row r="9" spans="1:15">
      <c r="A9" s="8" t="str">
        <f>"20150203"</f>
        <v>20150203</v>
      </c>
      <c r="B9" s="8" t="str">
        <f t="shared" si="6"/>
        <v>20150202</v>
      </c>
      <c r="C9" s="8" t="str">
        <f>"ETF 基金赎回"</f>
        <v>ETF 基金赎回</v>
      </c>
      <c r="D9" s="8" t="str">
        <f>"511991"</f>
        <v>511991</v>
      </c>
      <c r="E9" s="8" t="str">
        <f>"添益申赎"</f>
        <v>添益申赎</v>
      </c>
      <c r="F9" s="8">
        <v>0</v>
      </c>
      <c r="G9" s="8">
        <v>200</v>
      </c>
      <c r="H9" s="8">
        <v>0</v>
      </c>
      <c r="I9" s="8">
        <v>0</v>
      </c>
      <c r="J9" s="8">
        <v>3160.91</v>
      </c>
      <c r="K9" s="8">
        <v>0</v>
      </c>
      <c r="L9" s="8" t="str">
        <f t="shared" si="0"/>
        <v>人民币</v>
      </c>
      <c r="M9" s="8" t="str">
        <f>"1361004639"</f>
        <v>1361004639</v>
      </c>
      <c r="N9" s="8" t="str">
        <f t="shared" si="3"/>
        <v>A368402599</v>
      </c>
      <c r="O9" s="8" t="str">
        <f t="shared" si="1"/>
        <v>300100052893</v>
      </c>
    </row>
    <row r="10" spans="1:15">
      <c r="A10" s="8" t="str">
        <f>"20150203"</f>
        <v>20150203</v>
      </c>
      <c r="B10" s="8" t="str">
        <f t="shared" si="6"/>
        <v>20150202</v>
      </c>
      <c r="C10" s="8" t="str">
        <f>"ETF 申购退款"</f>
        <v>ETF 申购退款</v>
      </c>
      <c r="D10" s="8" t="str">
        <f t="shared" ref="D10:D15" si="7">"511990"</f>
        <v>511990</v>
      </c>
      <c r="E10" s="8" t="str">
        <f t="shared" ref="E10:E15" si="8">"华宝添益"</f>
        <v>华宝添益</v>
      </c>
      <c r="F10" s="8">
        <v>0</v>
      </c>
      <c r="G10" s="8">
        <v>0</v>
      </c>
      <c r="H10" s="8">
        <v>20002.16</v>
      </c>
      <c r="I10" s="8">
        <v>20002.16</v>
      </c>
      <c r="J10" s="8">
        <v>23163.07</v>
      </c>
      <c r="K10" s="8">
        <v>0</v>
      </c>
      <c r="L10" s="8" t="str">
        <f t="shared" si="0"/>
        <v>人民币</v>
      </c>
      <c r="N10" s="8" t="str">
        <f t="shared" si="3"/>
        <v>A368402599</v>
      </c>
      <c r="O10" s="8" t="str">
        <f t="shared" si="1"/>
        <v>300100052893</v>
      </c>
    </row>
    <row r="11" spans="1:15">
      <c r="A11" s="8" t="str">
        <f>"20150205"</f>
        <v>20150205</v>
      </c>
      <c r="B11" s="8" t="str">
        <f>"20150205"</f>
        <v>20150205</v>
      </c>
      <c r="C11" s="8" t="str">
        <f>"证券买入"</f>
        <v>证券买入</v>
      </c>
      <c r="D11" s="8" t="str">
        <f>"601179"</f>
        <v>601179</v>
      </c>
      <c r="E11" s="8" t="str">
        <f>"中国西电"</f>
        <v>中国西电</v>
      </c>
      <c r="F11" s="8">
        <v>6.46</v>
      </c>
      <c r="G11" s="8">
        <v>500</v>
      </c>
      <c r="H11" s="8">
        <v>3230</v>
      </c>
      <c r="I11" s="8">
        <v>-3235.3</v>
      </c>
      <c r="J11" s="8">
        <v>19927.77</v>
      </c>
      <c r="K11" s="8">
        <v>500</v>
      </c>
      <c r="L11" s="8" t="str">
        <f t="shared" si="0"/>
        <v>人民币</v>
      </c>
      <c r="M11" s="8" t="str">
        <f>"1361006989"</f>
        <v>1361006989</v>
      </c>
      <c r="N11" s="8" t="str">
        <f t="shared" si="3"/>
        <v>A368402599</v>
      </c>
      <c r="O11" s="8" t="str">
        <f t="shared" si="1"/>
        <v>300100052893</v>
      </c>
    </row>
    <row r="12" spans="1:15">
      <c r="A12" s="8" t="str">
        <f>"20150209"</f>
        <v>20150209</v>
      </c>
      <c r="B12" s="8" t="str">
        <f t="shared" ref="B12:B15" si="9">"20150209"</f>
        <v>20150209</v>
      </c>
      <c r="C12" s="8" t="str">
        <f>"银行转证券"</f>
        <v>银行转证券</v>
      </c>
      <c r="F12" s="8">
        <v>0</v>
      </c>
      <c r="G12" s="8">
        <v>0</v>
      </c>
      <c r="H12" s="8">
        <v>0</v>
      </c>
      <c r="I12" s="8">
        <v>100</v>
      </c>
      <c r="J12" s="8">
        <v>20027.77</v>
      </c>
      <c r="K12" s="8">
        <v>0</v>
      </c>
      <c r="L12" s="8" t="str">
        <f t="shared" si="0"/>
        <v>人民币</v>
      </c>
      <c r="O12" s="8" t="str">
        <f t="shared" si="1"/>
        <v>300100052893</v>
      </c>
    </row>
    <row r="13" spans="1:15">
      <c r="A13" s="8" t="str">
        <f>"20150209"</f>
        <v>20150209</v>
      </c>
      <c r="B13" s="8" t="str">
        <f t="shared" si="9"/>
        <v>20150209</v>
      </c>
      <c r="C13" s="8" t="str">
        <f>"证券买入"</f>
        <v>证券买入</v>
      </c>
      <c r="D13" s="8" t="str">
        <f t="shared" si="7"/>
        <v>511990</v>
      </c>
      <c r="E13" s="8" t="str">
        <f t="shared" si="8"/>
        <v>华宝添益</v>
      </c>
      <c r="F13" s="8">
        <v>99.965</v>
      </c>
      <c r="G13" s="8">
        <v>200</v>
      </c>
      <c r="H13" s="8">
        <v>19993</v>
      </c>
      <c r="I13" s="8">
        <v>-19993</v>
      </c>
      <c r="J13" s="8">
        <v>34.77</v>
      </c>
      <c r="K13" s="8">
        <v>200</v>
      </c>
      <c r="L13" s="8" t="str">
        <f t="shared" si="0"/>
        <v>人民币</v>
      </c>
      <c r="M13" s="8" t="str">
        <f>"1361001691"</f>
        <v>1361001691</v>
      </c>
      <c r="N13" s="8" t="str">
        <f t="shared" ref="N13:N15" si="10">"A368402599"</f>
        <v>A368402599</v>
      </c>
      <c r="O13" s="8" t="str">
        <f t="shared" si="1"/>
        <v>300100052893</v>
      </c>
    </row>
    <row r="14" spans="1:15">
      <c r="A14" s="8" t="str">
        <f>"20150210"</f>
        <v>20150210</v>
      </c>
      <c r="B14" s="8" t="str">
        <f t="shared" si="9"/>
        <v>20150209</v>
      </c>
      <c r="C14" s="8" t="str">
        <f>"ETF 基金赎回"</f>
        <v>ETF 基金赎回</v>
      </c>
      <c r="D14" s="8" t="str">
        <f>"511991"</f>
        <v>511991</v>
      </c>
      <c r="E14" s="8" t="str">
        <f>"添益申赎"</f>
        <v>添益申赎</v>
      </c>
      <c r="F14" s="8">
        <v>0</v>
      </c>
      <c r="G14" s="8">
        <v>200</v>
      </c>
      <c r="H14" s="8">
        <v>0</v>
      </c>
      <c r="I14" s="8">
        <v>0</v>
      </c>
      <c r="J14" s="8">
        <v>34.77</v>
      </c>
      <c r="K14" s="8">
        <v>0</v>
      </c>
      <c r="L14" s="8" t="str">
        <f t="shared" si="0"/>
        <v>人民币</v>
      </c>
      <c r="M14" s="8" t="str">
        <f>"1361001792"</f>
        <v>1361001792</v>
      </c>
      <c r="N14" s="8" t="str">
        <f t="shared" si="10"/>
        <v>A368402599</v>
      </c>
      <c r="O14" s="8" t="str">
        <f t="shared" si="1"/>
        <v>300100052893</v>
      </c>
    </row>
    <row r="15" spans="1:15">
      <c r="A15" s="8" t="str">
        <f>"20150210"</f>
        <v>20150210</v>
      </c>
      <c r="B15" s="8" t="str">
        <f t="shared" si="9"/>
        <v>20150209</v>
      </c>
      <c r="C15" s="8" t="str">
        <f>"ETF 申购退款"</f>
        <v>ETF 申购退款</v>
      </c>
      <c r="D15" s="8" t="str">
        <f t="shared" si="7"/>
        <v>511990</v>
      </c>
      <c r="E15" s="8" t="str">
        <f t="shared" si="8"/>
        <v>华宝添益</v>
      </c>
      <c r="F15" s="8">
        <v>0</v>
      </c>
      <c r="G15" s="8">
        <v>0</v>
      </c>
      <c r="H15" s="8">
        <v>20002.18</v>
      </c>
      <c r="I15" s="8">
        <v>20002.18</v>
      </c>
      <c r="J15" s="8">
        <v>20036.95</v>
      </c>
      <c r="K15" s="8">
        <v>0</v>
      </c>
      <c r="L15" s="8" t="str">
        <f t="shared" si="0"/>
        <v>人民币</v>
      </c>
      <c r="N15" s="8" t="str">
        <f t="shared" si="10"/>
        <v>A368402599</v>
      </c>
      <c r="O15" s="8" t="str">
        <f t="shared" si="1"/>
        <v>300100052893</v>
      </c>
    </row>
    <row r="16" spans="1:15">
      <c r="A16" s="8" t="str">
        <f>"20150211"</f>
        <v>20150211</v>
      </c>
      <c r="B16" s="8" t="str">
        <f>"20150211"</f>
        <v>20150211</v>
      </c>
      <c r="C16" s="8" t="str">
        <f>"证券转银行"</f>
        <v>证券转银行</v>
      </c>
      <c r="F16" s="8">
        <v>0</v>
      </c>
      <c r="G16" s="8">
        <v>0</v>
      </c>
      <c r="H16" s="8">
        <v>0</v>
      </c>
      <c r="I16" s="8">
        <v>-8100</v>
      </c>
      <c r="J16" s="8">
        <v>11936.95</v>
      </c>
      <c r="K16" s="8">
        <v>0</v>
      </c>
      <c r="L16" s="8" t="str">
        <f t="shared" si="0"/>
        <v>人民币</v>
      </c>
      <c r="O16" s="8" t="str">
        <f t="shared" si="1"/>
        <v>300100052893</v>
      </c>
    </row>
    <row r="17" spans="1:15">
      <c r="A17" s="8" t="str">
        <f>"20150212"</f>
        <v>20150212</v>
      </c>
      <c r="B17" s="8" t="str">
        <f>"20150212"</f>
        <v>20150212</v>
      </c>
      <c r="C17" s="8" t="str">
        <f>"证券买入"</f>
        <v>证券买入</v>
      </c>
      <c r="D17" s="8" t="str">
        <f t="shared" ref="D17:D21" si="11">"601607"</f>
        <v>601607</v>
      </c>
      <c r="E17" s="8" t="str">
        <f t="shared" ref="E17:E21" si="12">"上海医药"</f>
        <v>上海医药</v>
      </c>
      <c r="F17" s="8">
        <v>17.19</v>
      </c>
      <c r="G17" s="8">
        <v>500</v>
      </c>
      <c r="H17" s="8">
        <v>8595</v>
      </c>
      <c r="I17" s="8">
        <v>-8600.3</v>
      </c>
      <c r="J17" s="8">
        <v>3336.65</v>
      </c>
      <c r="K17" s="8">
        <v>500</v>
      </c>
      <c r="L17" s="8" t="str">
        <f t="shared" si="0"/>
        <v>人民币</v>
      </c>
      <c r="M17" s="8" t="str">
        <f>"1361003683"</f>
        <v>1361003683</v>
      </c>
      <c r="N17" s="8" t="str">
        <f t="shared" ref="N17:N21" si="13">"A368402599"</f>
        <v>A368402599</v>
      </c>
      <c r="O17" s="8" t="str">
        <f t="shared" si="1"/>
        <v>300100052893</v>
      </c>
    </row>
    <row r="18" spans="1:15">
      <c r="A18" s="8" t="str">
        <f t="shared" ref="A18:A20" si="14">"20150226"</f>
        <v>20150226</v>
      </c>
      <c r="B18" s="8" t="str">
        <f t="shared" ref="B18:B20" si="15">"20150226"</f>
        <v>20150226</v>
      </c>
      <c r="C18" s="8" t="str">
        <f t="shared" ref="C18:C21" si="16">"证券卖出"</f>
        <v>证券卖出</v>
      </c>
      <c r="D18" s="8" t="str">
        <f t="shared" si="11"/>
        <v>601607</v>
      </c>
      <c r="E18" s="8" t="str">
        <f t="shared" si="12"/>
        <v>上海医药</v>
      </c>
      <c r="F18" s="8">
        <v>18.01</v>
      </c>
      <c r="G18" s="8">
        <v>500</v>
      </c>
      <c r="H18" s="8">
        <v>9005</v>
      </c>
      <c r="I18" s="8">
        <v>8990.69</v>
      </c>
      <c r="J18" s="8">
        <v>12327.34</v>
      </c>
      <c r="K18" s="8">
        <v>0</v>
      </c>
      <c r="L18" s="8" t="str">
        <f t="shared" si="0"/>
        <v>人民币</v>
      </c>
      <c r="M18" s="8" t="str">
        <f>"1361001093"</f>
        <v>1361001093</v>
      </c>
      <c r="N18" s="8" t="str">
        <f t="shared" si="13"/>
        <v>A368402599</v>
      </c>
      <c r="O18" s="8" t="str">
        <f t="shared" si="1"/>
        <v>300100052893</v>
      </c>
    </row>
    <row r="19" spans="1:15">
      <c r="A19" s="8" t="str">
        <f t="shared" si="14"/>
        <v>20150226</v>
      </c>
      <c r="B19" s="8" t="str">
        <f t="shared" si="15"/>
        <v>20150226</v>
      </c>
      <c r="C19" s="8" t="str">
        <f t="shared" si="16"/>
        <v>证券卖出</v>
      </c>
      <c r="D19" s="8" t="str">
        <f>"601179"</f>
        <v>601179</v>
      </c>
      <c r="E19" s="8" t="str">
        <f>"中国西电"</f>
        <v>中国西电</v>
      </c>
      <c r="F19" s="8">
        <v>6.51</v>
      </c>
      <c r="G19" s="8">
        <v>500</v>
      </c>
      <c r="H19" s="8">
        <v>3255</v>
      </c>
      <c r="I19" s="8">
        <v>3246.44</v>
      </c>
      <c r="J19" s="8">
        <v>15573.78</v>
      </c>
      <c r="K19" s="8">
        <v>0</v>
      </c>
      <c r="L19" s="8" t="str">
        <f t="shared" si="0"/>
        <v>人民币</v>
      </c>
      <c r="M19" s="8" t="str">
        <f>"1361001918"</f>
        <v>1361001918</v>
      </c>
      <c r="N19" s="8" t="str">
        <f t="shared" si="13"/>
        <v>A368402599</v>
      </c>
      <c r="O19" s="8" t="str">
        <f t="shared" si="1"/>
        <v>300100052893</v>
      </c>
    </row>
    <row r="20" spans="1:15">
      <c r="A20" s="8" t="str">
        <f t="shared" si="14"/>
        <v>20150226</v>
      </c>
      <c r="B20" s="8" t="str">
        <f t="shared" si="15"/>
        <v>20150226</v>
      </c>
      <c r="C20" s="8" t="str">
        <f>"证券买入"</f>
        <v>证券买入</v>
      </c>
      <c r="D20" s="8" t="str">
        <f t="shared" si="11"/>
        <v>601607</v>
      </c>
      <c r="E20" s="8" t="str">
        <f t="shared" si="12"/>
        <v>上海医药</v>
      </c>
      <c r="F20" s="8">
        <v>17.92</v>
      </c>
      <c r="G20" s="8">
        <v>500</v>
      </c>
      <c r="H20" s="8">
        <v>8960</v>
      </c>
      <c r="I20" s="8">
        <v>-8965.3</v>
      </c>
      <c r="J20" s="8">
        <v>6608.48</v>
      </c>
      <c r="K20" s="8">
        <v>500</v>
      </c>
      <c r="L20" s="8" t="str">
        <f t="shared" si="0"/>
        <v>人民币</v>
      </c>
      <c r="M20" s="8" t="str">
        <f>"1361003580"</f>
        <v>1361003580</v>
      </c>
      <c r="N20" s="8" t="str">
        <f t="shared" si="13"/>
        <v>A368402599</v>
      </c>
      <c r="O20" s="8" t="str">
        <f t="shared" si="1"/>
        <v>300100052893</v>
      </c>
    </row>
    <row r="21" spans="1:15">
      <c r="A21" s="8" t="str">
        <f>"20150306"</f>
        <v>20150306</v>
      </c>
      <c r="B21" s="8" t="str">
        <f>"20150306"</f>
        <v>20150306</v>
      </c>
      <c r="C21" s="8" t="str">
        <f t="shared" si="16"/>
        <v>证券卖出</v>
      </c>
      <c r="D21" s="8" t="str">
        <f t="shared" si="11"/>
        <v>601607</v>
      </c>
      <c r="E21" s="8" t="str">
        <f t="shared" si="12"/>
        <v>上海医药</v>
      </c>
      <c r="F21" s="8">
        <v>18.88</v>
      </c>
      <c r="G21" s="8">
        <v>500</v>
      </c>
      <c r="H21" s="8">
        <v>9440</v>
      </c>
      <c r="I21" s="8">
        <v>9425.26</v>
      </c>
      <c r="J21" s="8">
        <v>16033.74</v>
      </c>
      <c r="K21" s="8">
        <v>0</v>
      </c>
      <c r="L21" s="8" t="str">
        <f t="shared" si="0"/>
        <v>人民币</v>
      </c>
      <c r="M21" s="8" t="str">
        <f>"1361002051"</f>
        <v>1361002051</v>
      </c>
      <c r="N21" s="8" t="str">
        <f t="shared" si="13"/>
        <v>A368402599</v>
      </c>
      <c r="O21" s="8" t="str">
        <f t="shared" si="1"/>
        <v>300100052893</v>
      </c>
    </row>
    <row r="22" spans="1:15">
      <c r="A22" s="8" t="str">
        <f>"20150320"</f>
        <v>20150320</v>
      </c>
      <c r="B22" s="8" t="str">
        <f>"20150320"</f>
        <v>20150320</v>
      </c>
      <c r="C22" s="8" t="str">
        <f>"利息归本"</f>
        <v>利息归本</v>
      </c>
      <c r="F22" s="8">
        <v>0</v>
      </c>
      <c r="G22" s="8">
        <v>0</v>
      </c>
      <c r="H22" s="8">
        <v>0</v>
      </c>
      <c r="I22" s="8">
        <v>9.52</v>
      </c>
      <c r="J22" s="8">
        <v>16043.26</v>
      </c>
      <c r="K22" s="8">
        <v>0</v>
      </c>
      <c r="L22" s="8" t="str">
        <f t="shared" si="0"/>
        <v>人民币</v>
      </c>
      <c r="O22" s="8" t="str">
        <f t="shared" si="1"/>
        <v>300100052893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2" sqref="A2:K11"/>
    </sheetView>
  </sheetViews>
  <sheetFormatPr defaultColWidth="9" defaultRowHeight="13.5"/>
  <cols>
    <col min="1" max="16384" width="9" style="8"/>
  </cols>
  <sheetData>
    <row r="1" spans="1:15">
      <c r="A1" s="8" t="str">
        <f>"成交日期"</f>
        <v>成交日期</v>
      </c>
      <c r="B1" s="8" t="str">
        <f>"委托日期"</f>
        <v>委托日期</v>
      </c>
      <c r="C1" s="8" t="str">
        <f>"业务类型"</f>
        <v>业务类型</v>
      </c>
      <c r="D1" s="8" t="str">
        <f>"证券代码"</f>
        <v>证券代码</v>
      </c>
      <c r="E1" s="8" t="str">
        <f>"证券名称"</f>
        <v>证券名称</v>
      </c>
      <c r="F1" s="8" t="str">
        <f>"成交价格"</f>
        <v>成交价格</v>
      </c>
      <c r="G1" s="8" t="str">
        <f>"成交数量"</f>
        <v>成交数量</v>
      </c>
      <c r="H1" s="8" t="str">
        <f>"成交金额"</f>
        <v>成交金额</v>
      </c>
      <c r="I1" s="8" t="str">
        <f>"发生金额"</f>
        <v>发生金额</v>
      </c>
      <c r="J1" s="8" t="str">
        <f>"资金余额"</f>
        <v>资金余额</v>
      </c>
      <c r="K1" s="8" t="str">
        <f>"当前持仓"</f>
        <v>当前持仓</v>
      </c>
      <c r="L1" s="8" t="str">
        <f>"币种"</f>
        <v>币种</v>
      </c>
      <c r="M1" s="8" t="str">
        <f>"协议编号"</f>
        <v>协议编号</v>
      </c>
      <c r="N1" s="8" t="str">
        <f>"股东代码"</f>
        <v>股东代码</v>
      </c>
      <c r="O1" s="8" t="str">
        <f>"产品账号"</f>
        <v>产品账号</v>
      </c>
    </row>
    <row r="2" spans="1:15">
      <c r="A2" s="8" t="str">
        <f>"20150401"</f>
        <v>20150401</v>
      </c>
      <c r="B2" s="8" t="str">
        <f>"20150401"</f>
        <v>20150401</v>
      </c>
      <c r="C2" s="8" t="str">
        <f>"证券买入"</f>
        <v>证券买入</v>
      </c>
      <c r="D2" s="8" t="str">
        <f>"600219"</f>
        <v>600219</v>
      </c>
      <c r="E2" s="8" t="str">
        <f>"南山铝业"</f>
        <v>南山铝业</v>
      </c>
      <c r="F2" s="8">
        <v>10.81</v>
      </c>
      <c r="G2" s="8">
        <v>1000</v>
      </c>
      <c r="H2" s="8">
        <v>10810</v>
      </c>
      <c r="I2" s="8">
        <v>-10816.01</v>
      </c>
      <c r="J2" s="8">
        <v>5227.25</v>
      </c>
      <c r="K2" s="8">
        <v>2000</v>
      </c>
      <c r="L2" s="8" t="str">
        <f t="shared" ref="L2:L10" si="0">"人民币"</f>
        <v>人民币</v>
      </c>
      <c r="M2" s="8" t="str">
        <f>"1361002918"</f>
        <v>1361002918</v>
      </c>
      <c r="N2" s="8" t="str">
        <f>"A368402599"</f>
        <v>A368402599</v>
      </c>
      <c r="O2" s="8" t="str">
        <f t="shared" ref="O2:O10" si="1">"300100052893"</f>
        <v>300100052893</v>
      </c>
    </row>
    <row r="3" spans="1:15">
      <c r="A3" s="8" t="str">
        <f>"20150403"</f>
        <v>20150403</v>
      </c>
      <c r="B3" s="8" t="str">
        <f>"20150403"</f>
        <v>20150403</v>
      </c>
      <c r="C3" s="8" t="str">
        <f>"证券买入"</f>
        <v>证券买入</v>
      </c>
      <c r="D3" s="8" t="str">
        <f>"600219"</f>
        <v>600219</v>
      </c>
      <c r="E3" s="8" t="str">
        <f>"南山铝业"</f>
        <v>南山铝业</v>
      </c>
      <c r="F3" s="8">
        <v>11.29</v>
      </c>
      <c r="G3" s="8">
        <v>400</v>
      </c>
      <c r="H3" s="8">
        <v>4516</v>
      </c>
      <c r="I3" s="8">
        <v>-4521.24</v>
      </c>
      <c r="J3" s="8">
        <v>706.01</v>
      </c>
      <c r="K3" s="8">
        <v>2400</v>
      </c>
      <c r="L3" s="8" t="str">
        <f t="shared" si="0"/>
        <v>人民币</v>
      </c>
      <c r="M3" s="8" t="str">
        <f>"1361010464"</f>
        <v>1361010464</v>
      </c>
      <c r="N3" s="8" t="str">
        <f>"A368402599"</f>
        <v>A368402599</v>
      </c>
      <c r="O3" s="8" t="str">
        <f t="shared" si="1"/>
        <v>300100052893</v>
      </c>
    </row>
    <row r="4" spans="1:15">
      <c r="A4" s="8" t="str">
        <f>"20150428"</f>
        <v>20150428</v>
      </c>
      <c r="B4" s="8" t="str">
        <f>"20150428"</f>
        <v>20150428</v>
      </c>
      <c r="C4" s="8" t="str">
        <f>"开放基金合并减股"</f>
        <v>开放基金合并减股</v>
      </c>
      <c r="D4" s="8" t="str">
        <f t="shared" ref="D4:D6" si="2">"161024"</f>
        <v>161024</v>
      </c>
      <c r="E4" s="8" t="str">
        <f t="shared" ref="E4:E6" si="3">"军工分级"</f>
        <v>军工分级</v>
      </c>
      <c r="F4" s="8">
        <v>0</v>
      </c>
      <c r="G4" s="8">
        <v>1121</v>
      </c>
      <c r="H4" s="8">
        <v>0</v>
      </c>
      <c r="I4" s="8">
        <v>0</v>
      </c>
      <c r="J4" s="8">
        <v>706.01</v>
      </c>
      <c r="K4" s="8">
        <v>0</v>
      </c>
      <c r="L4" s="8" t="str">
        <f t="shared" si="0"/>
        <v>人民币</v>
      </c>
      <c r="N4" s="8" t="str">
        <f t="shared" ref="N4:N6" si="4">"0149593788"</f>
        <v>0149593788</v>
      </c>
      <c r="O4" s="8" t="str">
        <f t="shared" si="1"/>
        <v>300100052893</v>
      </c>
    </row>
    <row r="5" spans="1:15">
      <c r="A5" s="8" t="str">
        <f>"20150428"</f>
        <v>20150428</v>
      </c>
      <c r="B5" s="8" t="str">
        <f>"20150428"</f>
        <v>20150428</v>
      </c>
      <c r="C5" s="8" t="str">
        <f>"开放基金拆分增股"</f>
        <v>开放基金拆分增股</v>
      </c>
      <c r="D5" s="8" t="str">
        <f t="shared" si="2"/>
        <v>161024</v>
      </c>
      <c r="E5" s="8" t="str">
        <f t="shared" si="3"/>
        <v>军工分级</v>
      </c>
      <c r="F5" s="8">
        <v>0</v>
      </c>
      <c r="G5" s="8">
        <v>1737</v>
      </c>
      <c r="H5" s="8">
        <v>0</v>
      </c>
      <c r="I5" s="8">
        <v>0</v>
      </c>
      <c r="J5" s="8">
        <v>706.01</v>
      </c>
      <c r="K5" s="8">
        <v>1737</v>
      </c>
      <c r="L5" s="8" t="str">
        <f t="shared" si="0"/>
        <v>人民币</v>
      </c>
      <c r="N5" s="8" t="str">
        <f t="shared" si="4"/>
        <v>0149593788</v>
      </c>
      <c r="O5" s="8" t="str">
        <f t="shared" si="1"/>
        <v>300100052893</v>
      </c>
    </row>
    <row r="6" spans="1:15">
      <c r="A6" s="8" t="str">
        <f>"20150430"</f>
        <v>20150430</v>
      </c>
      <c r="B6" s="8" t="str">
        <f>"20150430"</f>
        <v>20150430</v>
      </c>
      <c r="C6" s="8" t="str">
        <f>"股份转入"</f>
        <v>股份转入</v>
      </c>
      <c r="D6" s="8" t="str">
        <f t="shared" si="2"/>
        <v>161024</v>
      </c>
      <c r="E6" s="8" t="str">
        <f t="shared" si="3"/>
        <v>军工分级</v>
      </c>
      <c r="F6" s="8">
        <v>0.986</v>
      </c>
      <c r="G6" s="8">
        <v>1482</v>
      </c>
      <c r="H6" s="8">
        <v>1461.25</v>
      </c>
      <c r="I6" s="8">
        <v>0</v>
      </c>
      <c r="J6" s="8">
        <v>706.01</v>
      </c>
      <c r="K6" s="8">
        <v>3219</v>
      </c>
      <c r="L6" s="8" t="str">
        <f t="shared" si="0"/>
        <v>人民币</v>
      </c>
      <c r="N6" s="8" t="str">
        <f t="shared" si="4"/>
        <v>0149593788</v>
      </c>
      <c r="O6" s="8" t="str">
        <f t="shared" si="1"/>
        <v>300100052893</v>
      </c>
    </row>
    <row r="7" spans="1:15">
      <c r="A7" s="8" t="str">
        <f>"20150602"</f>
        <v>20150602</v>
      </c>
      <c r="B7" s="8" t="str">
        <f>"20150602"</f>
        <v>20150602</v>
      </c>
      <c r="C7" s="8" t="str">
        <f>"银行转证券"</f>
        <v>银行转证券</v>
      </c>
      <c r="F7" s="8">
        <v>0</v>
      </c>
      <c r="G7" s="8">
        <v>0</v>
      </c>
      <c r="H7" s="8">
        <v>0</v>
      </c>
      <c r="I7" s="8">
        <v>41000</v>
      </c>
      <c r="J7" s="8">
        <v>41706.01</v>
      </c>
      <c r="K7" s="8">
        <v>0</v>
      </c>
      <c r="L7" s="8" t="str">
        <f t="shared" si="0"/>
        <v>人民币</v>
      </c>
      <c r="O7" s="8" t="str">
        <f t="shared" si="1"/>
        <v>300100052893</v>
      </c>
    </row>
    <row r="8" spans="1:15">
      <c r="A8" s="8" t="str">
        <f>"20150602"</f>
        <v>20150602</v>
      </c>
      <c r="B8" s="8" t="str">
        <f>"20150602"</f>
        <v>20150602</v>
      </c>
      <c r="C8" s="8" t="str">
        <f>"证券买入"</f>
        <v>证券买入</v>
      </c>
      <c r="D8" s="8" t="str">
        <f>"150181"</f>
        <v>150181</v>
      </c>
      <c r="E8" s="8" t="str">
        <f>"军工A"</f>
        <v>军工A</v>
      </c>
      <c r="F8" s="8">
        <v>0.793</v>
      </c>
      <c r="G8" s="8">
        <v>52400</v>
      </c>
      <c r="H8" s="8">
        <v>41553.2</v>
      </c>
      <c r="I8" s="8">
        <v>-41573.98</v>
      </c>
      <c r="J8" s="8">
        <v>132.03</v>
      </c>
      <c r="K8" s="8">
        <v>52400</v>
      </c>
      <c r="L8" s="8" t="str">
        <f t="shared" si="0"/>
        <v>人民币</v>
      </c>
      <c r="M8" s="8" t="str">
        <f>"T4012082"</f>
        <v>T4012082</v>
      </c>
      <c r="N8" s="8" t="str">
        <f>"0149593788"</f>
        <v>0149593788</v>
      </c>
      <c r="O8" s="8" t="str">
        <f t="shared" si="1"/>
        <v>300100052893</v>
      </c>
    </row>
    <row r="9" spans="1:15">
      <c r="A9" s="8" t="str">
        <f>"20150609"</f>
        <v>20150609</v>
      </c>
      <c r="B9" s="8" t="str">
        <f>"20150609"</f>
        <v>20150609</v>
      </c>
      <c r="C9" s="8" t="str">
        <f>"红利入账"</f>
        <v>红利入账</v>
      </c>
      <c r="D9" s="8" t="str">
        <f>"600219"</f>
        <v>600219</v>
      </c>
      <c r="E9" s="8" t="str">
        <f>"南山铝业"</f>
        <v>南山铝业</v>
      </c>
      <c r="F9" s="8">
        <v>0</v>
      </c>
      <c r="G9" s="8">
        <v>2400</v>
      </c>
      <c r="H9" s="8">
        <v>228</v>
      </c>
      <c r="I9" s="8">
        <v>228</v>
      </c>
      <c r="J9" s="8">
        <v>360.03</v>
      </c>
      <c r="K9" s="8">
        <v>0</v>
      </c>
      <c r="L9" s="8" t="str">
        <f t="shared" si="0"/>
        <v>人民币</v>
      </c>
      <c r="N9" s="8" t="str">
        <f>"A368402599"</f>
        <v>A368402599</v>
      </c>
      <c r="O9" s="8" t="str">
        <f t="shared" si="1"/>
        <v>300100052893</v>
      </c>
    </row>
    <row r="10" spans="1:15">
      <c r="A10" s="8" t="str">
        <f>"20150619"</f>
        <v>20150619</v>
      </c>
      <c r="B10" s="8" t="str">
        <f>"20150619"</f>
        <v>20150619</v>
      </c>
      <c r="C10" s="8" t="str">
        <f>"利息归本"</f>
        <v>利息归本</v>
      </c>
      <c r="F10" s="8">
        <v>0</v>
      </c>
      <c r="G10" s="8">
        <v>0</v>
      </c>
      <c r="H10" s="8">
        <v>0</v>
      </c>
      <c r="I10" s="8">
        <v>2.95</v>
      </c>
      <c r="J10" s="8">
        <v>362.98</v>
      </c>
      <c r="K10" s="8">
        <v>0</v>
      </c>
      <c r="L10" s="8" t="str">
        <f t="shared" si="0"/>
        <v>人民币</v>
      </c>
      <c r="O10" s="8" t="str">
        <f t="shared" si="1"/>
        <v>300100052893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3"/>
  <sheetViews>
    <sheetView topLeftCell="A97" workbookViewId="0">
      <selection activeCell="A2" sqref="A2:K113"/>
    </sheetView>
  </sheetViews>
  <sheetFormatPr defaultColWidth="9" defaultRowHeight="13.5"/>
  <cols>
    <col min="1" max="16384" width="9" style="8"/>
  </cols>
  <sheetData>
    <row r="1" spans="1:15">
      <c r="A1" s="8" t="str">
        <f>"成交日期"</f>
        <v>成交日期</v>
      </c>
      <c r="B1" s="8" t="str">
        <f>"委托日期"</f>
        <v>委托日期</v>
      </c>
      <c r="C1" s="8" t="str">
        <f>"业务类型"</f>
        <v>业务类型</v>
      </c>
      <c r="D1" s="8" t="str">
        <f>"证券代码"</f>
        <v>证券代码</v>
      </c>
      <c r="E1" s="8" t="str">
        <f>"证券名称"</f>
        <v>证券名称</v>
      </c>
      <c r="F1" s="8" t="str">
        <f>"成交价格"</f>
        <v>成交价格</v>
      </c>
      <c r="G1" s="8" t="str">
        <f>"成交数量"</f>
        <v>成交数量</v>
      </c>
      <c r="H1" s="8" t="str">
        <f>"成交金额"</f>
        <v>成交金额</v>
      </c>
      <c r="I1" s="8" t="str">
        <f>"发生金额"</f>
        <v>发生金额</v>
      </c>
      <c r="J1" s="8" t="str">
        <f>"资金余额"</f>
        <v>资金余额</v>
      </c>
      <c r="K1" s="8" t="str">
        <f>"当前持仓"</f>
        <v>当前持仓</v>
      </c>
      <c r="L1" s="8" t="str">
        <f>"币种"</f>
        <v>币种</v>
      </c>
      <c r="M1" s="8" t="str">
        <f>"协议编号"</f>
        <v>协议编号</v>
      </c>
      <c r="N1" s="8" t="str">
        <f>"股东代码"</f>
        <v>股东代码</v>
      </c>
      <c r="O1" s="8" t="str">
        <f>"产品账号"</f>
        <v>产品账号</v>
      </c>
    </row>
    <row r="2" spans="1:15">
      <c r="A2" s="8" t="str">
        <f>"20150703"</f>
        <v>20150703</v>
      </c>
      <c r="B2" s="8" t="str">
        <f>"20150703"</f>
        <v>20150703</v>
      </c>
      <c r="C2" s="8" t="str">
        <f>"银行转证券"</f>
        <v>银行转证券</v>
      </c>
      <c r="F2" s="8">
        <v>0</v>
      </c>
      <c r="G2" s="8">
        <v>0</v>
      </c>
      <c r="H2" s="8">
        <v>0</v>
      </c>
      <c r="I2" s="8">
        <v>30000</v>
      </c>
      <c r="J2" s="8">
        <v>30362.98</v>
      </c>
      <c r="K2" s="8">
        <v>0</v>
      </c>
      <c r="L2" s="8" t="str">
        <f t="shared" ref="L2:L65" si="0">"人民币"</f>
        <v>人民币</v>
      </c>
      <c r="O2" s="8" t="str">
        <f t="shared" ref="O2:O65" si="1">"300100052893"</f>
        <v>300100052893</v>
      </c>
    </row>
    <row r="3" spans="1:15">
      <c r="A3" s="8" t="str">
        <f>"20150703"</f>
        <v>20150703</v>
      </c>
      <c r="B3" s="8" t="str">
        <f>"20150703"</f>
        <v>20150703</v>
      </c>
      <c r="C3" s="8" t="str">
        <f t="shared" ref="C3:C9" si="2">"证券买入"</f>
        <v>证券买入</v>
      </c>
      <c r="D3" s="8" t="str">
        <f t="shared" ref="D3:D7" si="3">"150181"</f>
        <v>150181</v>
      </c>
      <c r="E3" s="8" t="str">
        <f t="shared" ref="E3:E7" si="4">"军工A"</f>
        <v>军工A</v>
      </c>
      <c r="F3" s="8">
        <v>0.753</v>
      </c>
      <c r="G3" s="8">
        <v>39900</v>
      </c>
      <c r="H3" s="8">
        <v>30044.7</v>
      </c>
      <c r="I3" s="8">
        <v>-30054.01</v>
      </c>
      <c r="J3" s="8">
        <v>308.97</v>
      </c>
      <c r="K3" s="8">
        <v>92300</v>
      </c>
      <c r="L3" s="8" t="str">
        <f t="shared" si="0"/>
        <v>人民币</v>
      </c>
      <c r="M3" s="8" t="str">
        <f>"T4001146"</f>
        <v>T4001146</v>
      </c>
      <c r="N3" s="8" t="str">
        <f t="shared" ref="N3:N7" si="5">"0149593788"</f>
        <v>0149593788</v>
      </c>
      <c r="O3" s="8" t="str">
        <f t="shared" si="1"/>
        <v>300100052893</v>
      </c>
    </row>
    <row r="4" spans="1:15">
      <c r="A4" s="8" t="str">
        <f t="shared" ref="A4:A6" si="6">"20150706"</f>
        <v>20150706</v>
      </c>
      <c r="B4" s="8" t="str">
        <f t="shared" ref="B4:B6" si="7">"20150706"</f>
        <v>20150706</v>
      </c>
      <c r="C4" s="8" t="str">
        <f>"银行转证券"</f>
        <v>银行转证券</v>
      </c>
      <c r="F4" s="8">
        <v>0</v>
      </c>
      <c r="G4" s="8">
        <v>0</v>
      </c>
      <c r="H4" s="8">
        <v>0</v>
      </c>
      <c r="I4" s="8">
        <v>53000</v>
      </c>
      <c r="J4" s="8">
        <v>53308.97</v>
      </c>
      <c r="K4" s="8">
        <v>0</v>
      </c>
      <c r="L4" s="8" t="str">
        <f t="shared" si="0"/>
        <v>人民币</v>
      </c>
      <c r="O4" s="8" t="str">
        <f t="shared" si="1"/>
        <v>300100052893</v>
      </c>
    </row>
    <row r="5" spans="1:15">
      <c r="A5" s="8" t="str">
        <f t="shared" si="6"/>
        <v>20150706</v>
      </c>
      <c r="B5" s="8" t="str">
        <f t="shared" si="7"/>
        <v>20150706</v>
      </c>
      <c r="C5" s="8" t="str">
        <f t="shared" si="2"/>
        <v>证券买入</v>
      </c>
      <c r="D5" s="8" t="str">
        <f t="shared" ref="D5:D9" si="8">"510300"</f>
        <v>510300</v>
      </c>
      <c r="E5" s="8" t="str">
        <f t="shared" ref="E5:E9" si="9">"300ETF"</f>
        <v>300ETF</v>
      </c>
      <c r="F5" s="8">
        <v>4.006</v>
      </c>
      <c r="G5" s="8">
        <v>5000</v>
      </c>
      <c r="H5" s="8">
        <v>20030</v>
      </c>
      <c r="I5" s="8">
        <v>-20036.21</v>
      </c>
      <c r="J5" s="8">
        <v>33272.76</v>
      </c>
      <c r="K5" s="8">
        <v>5000</v>
      </c>
      <c r="L5" s="8" t="str">
        <f t="shared" si="0"/>
        <v>人民币</v>
      </c>
      <c r="M5" s="8" t="str">
        <f>"1361015794"</f>
        <v>1361015794</v>
      </c>
      <c r="N5" s="8" t="str">
        <f t="shared" ref="N5:N9" si="10">"A368402599"</f>
        <v>A368402599</v>
      </c>
      <c r="O5" s="8" t="str">
        <f t="shared" si="1"/>
        <v>300100052893</v>
      </c>
    </row>
    <row r="6" spans="1:15">
      <c r="A6" s="8" t="str">
        <f t="shared" si="6"/>
        <v>20150706</v>
      </c>
      <c r="B6" s="8" t="str">
        <f t="shared" si="7"/>
        <v>20150706</v>
      </c>
      <c r="C6" s="8" t="str">
        <f>"证券卖出"</f>
        <v>证券卖出</v>
      </c>
      <c r="D6" s="8" t="str">
        <f t="shared" si="3"/>
        <v>150181</v>
      </c>
      <c r="E6" s="8" t="str">
        <f t="shared" si="4"/>
        <v>军工A</v>
      </c>
      <c r="F6" s="8">
        <v>0.796</v>
      </c>
      <c r="G6" s="8">
        <v>39900</v>
      </c>
      <c r="H6" s="8">
        <v>31760.4</v>
      </c>
      <c r="I6" s="8">
        <v>31750.55</v>
      </c>
      <c r="J6" s="8">
        <v>65023.31</v>
      </c>
      <c r="K6" s="8">
        <v>52400</v>
      </c>
      <c r="L6" s="8" t="str">
        <f t="shared" si="0"/>
        <v>人民币</v>
      </c>
      <c r="M6" s="8" t="str">
        <f>"T4012112"</f>
        <v>T4012112</v>
      </c>
      <c r="N6" s="8" t="str">
        <f t="shared" si="5"/>
        <v>0149593788</v>
      </c>
      <c r="O6" s="8" t="str">
        <f t="shared" si="1"/>
        <v>300100052893</v>
      </c>
    </row>
    <row r="7" spans="1:15">
      <c r="A7" s="8" t="str">
        <f t="shared" ref="A7:A10" si="11">"20150707"</f>
        <v>20150707</v>
      </c>
      <c r="B7" s="8" t="str">
        <f t="shared" ref="B7:B10" si="12">"20150707"</f>
        <v>20150707</v>
      </c>
      <c r="C7" s="8" t="str">
        <f t="shared" si="2"/>
        <v>证券买入</v>
      </c>
      <c r="D7" s="8" t="str">
        <f t="shared" si="3"/>
        <v>150181</v>
      </c>
      <c r="E7" s="8" t="str">
        <f t="shared" si="4"/>
        <v>军工A</v>
      </c>
      <c r="F7" s="8">
        <v>0.787</v>
      </c>
      <c r="G7" s="8">
        <v>39900</v>
      </c>
      <c r="H7" s="8">
        <v>31401.3</v>
      </c>
      <c r="I7" s="8">
        <v>-31411.03</v>
      </c>
      <c r="J7" s="8">
        <v>33612.28</v>
      </c>
      <c r="K7" s="8">
        <v>92300</v>
      </c>
      <c r="L7" s="8" t="str">
        <f t="shared" si="0"/>
        <v>人民币</v>
      </c>
      <c r="M7" s="8" t="str">
        <f>"T4000264"</f>
        <v>T4000264</v>
      </c>
      <c r="N7" s="8" t="str">
        <f t="shared" si="5"/>
        <v>0149593788</v>
      </c>
      <c r="O7" s="8" t="str">
        <f t="shared" si="1"/>
        <v>300100052893</v>
      </c>
    </row>
    <row r="8" spans="1:15">
      <c r="A8" s="8" t="str">
        <f t="shared" si="11"/>
        <v>20150707</v>
      </c>
      <c r="B8" s="8" t="str">
        <f t="shared" si="12"/>
        <v>20150707</v>
      </c>
      <c r="C8" s="8" t="str">
        <f t="shared" si="2"/>
        <v>证券买入</v>
      </c>
      <c r="D8" s="8" t="str">
        <f t="shared" si="8"/>
        <v>510300</v>
      </c>
      <c r="E8" s="8" t="str">
        <f t="shared" si="9"/>
        <v>300ETF</v>
      </c>
      <c r="F8" s="8">
        <v>3.899</v>
      </c>
      <c r="G8" s="8">
        <v>2000</v>
      </c>
      <c r="H8" s="8">
        <v>7798</v>
      </c>
      <c r="I8" s="8">
        <v>-7803</v>
      </c>
      <c r="J8" s="8">
        <v>25809.28</v>
      </c>
      <c r="K8" s="8">
        <v>7000</v>
      </c>
      <c r="L8" s="8" t="str">
        <f t="shared" si="0"/>
        <v>人民币</v>
      </c>
      <c r="M8" s="8" t="str">
        <f>"1361006121"</f>
        <v>1361006121</v>
      </c>
      <c r="N8" s="8" t="str">
        <f t="shared" si="10"/>
        <v>A368402599</v>
      </c>
      <c r="O8" s="8" t="str">
        <f t="shared" si="1"/>
        <v>300100052893</v>
      </c>
    </row>
    <row r="9" spans="1:15">
      <c r="A9" s="8" t="str">
        <f t="shared" si="11"/>
        <v>20150707</v>
      </c>
      <c r="B9" s="8" t="str">
        <f t="shared" si="12"/>
        <v>20150707</v>
      </c>
      <c r="C9" s="8" t="str">
        <f t="shared" si="2"/>
        <v>证券买入</v>
      </c>
      <c r="D9" s="8" t="str">
        <f t="shared" si="8"/>
        <v>510300</v>
      </c>
      <c r="E9" s="8" t="str">
        <f t="shared" si="9"/>
        <v>300ETF</v>
      </c>
      <c r="F9" s="8">
        <v>3.815</v>
      </c>
      <c r="G9" s="8">
        <v>2000</v>
      </c>
      <c r="H9" s="8">
        <v>7630</v>
      </c>
      <c r="I9" s="8">
        <v>-7635</v>
      </c>
      <c r="J9" s="8">
        <v>18174.28</v>
      </c>
      <c r="K9" s="8">
        <v>9000</v>
      </c>
      <c r="L9" s="8" t="str">
        <f t="shared" si="0"/>
        <v>人民币</v>
      </c>
      <c r="M9" s="8" t="str">
        <f>"1361008371"</f>
        <v>1361008371</v>
      </c>
      <c r="N9" s="8" t="str">
        <f t="shared" si="10"/>
        <v>A368402599</v>
      </c>
      <c r="O9" s="8" t="str">
        <f t="shared" si="1"/>
        <v>300100052893</v>
      </c>
    </row>
    <row r="10" spans="1:15">
      <c r="A10" s="8" t="str">
        <f t="shared" si="11"/>
        <v>20150707</v>
      </c>
      <c r="B10" s="8" t="str">
        <f t="shared" si="12"/>
        <v>20150707</v>
      </c>
      <c r="C10" s="8" t="str">
        <f t="shared" ref="C10:C19" si="13">"证券卖出"</f>
        <v>证券卖出</v>
      </c>
      <c r="D10" s="8" t="str">
        <f t="shared" ref="D10:D12" si="14">"150181"</f>
        <v>150181</v>
      </c>
      <c r="E10" s="8" t="str">
        <f t="shared" ref="E10:E12" si="15">"军工A"</f>
        <v>军工A</v>
      </c>
      <c r="F10" s="8">
        <v>0.829</v>
      </c>
      <c r="G10" s="8">
        <v>39900</v>
      </c>
      <c r="H10" s="8">
        <v>33077.1</v>
      </c>
      <c r="I10" s="8">
        <v>33066.85</v>
      </c>
      <c r="J10" s="8">
        <v>51241.13</v>
      </c>
      <c r="K10" s="8">
        <v>52400</v>
      </c>
      <c r="L10" s="8" t="str">
        <f t="shared" si="0"/>
        <v>人民币</v>
      </c>
      <c r="M10" s="8" t="str">
        <f>"T4004674"</f>
        <v>T4004674</v>
      </c>
      <c r="N10" s="8" t="str">
        <f t="shared" ref="N10:N12" si="16">"0149593788"</f>
        <v>0149593788</v>
      </c>
      <c r="O10" s="8" t="str">
        <f t="shared" si="1"/>
        <v>300100052893</v>
      </c>
    </row>
    <row r="11" spans="1:15">
      <c r="A11" s="8" t="str">
        <f t="shared" ref="A11:A14" si="17">"20150708"</f>
        <v>20150708</v>
      </c>
      <c r="B11" s="8" t="str">
        <f t="shared" ref="B11:B14" si="18">"20150708"</f>
        <v>20150708</v>
      </c>
      <c r="C11" s="8" t="str">
        <f t="shared" ref="C11:C13" si="19">"证券买入"</f>
        <v>证券买入</v>
      </c>
      <c r="D11" s="8" t="str">
        <f t="shared" si="14"/>
        <v>150181</v>
      </c>
      <c r="E11" s="8" t="str">
        <f t="shared" si="15"/>
        <v>军工A</v>
      </c>
      <c r="F11" s="8">
        <v>0.8</v>
      </c>
      <c r="G11" s="8">
        <v>40000</v>
      </c>
      <c r="H11" s="8">
        <v>32000</v>
      </c>
      <c r="I11" s="8">
        <v>-32009.92</v>
      </c>
      <c r="J11" s="8">
        <v>19231.21</v>
      </c>
      <c r="K11" s="8">
        <v>92400</v>
      </c>
      <c r="L11" s="8" t="str">
        <f t="shared" si="0"/>
        <v>人民币</v>
      </c>
      <c r="M11" s="8" t="str">
        <f>"T4000464"</f>
        <v>T4000464</v>
      </c>
      <c r="N11" s="8" t="str">
        <f t="shared" si="16"/>
        <v>0149593788</v>
      </c>
      <c r="O11" s="8" t="str">
        <f t="shared" si="1"/>
        <v>300100052893</v>
      </c>
    </row>
    <row r="12" spans="1:15">
      <c r="A12" s="8" t="str">
        <f t="shared" si="17"/>
        <v>20150708</v>
      </c>
      <c r="B12" s="8" t="str">
        <f t="shared" si="18"/>
        <v>20150708</v>
      </c>
      <c r="C12" s="8" t="str">
        <f t="shared" si="19"/>
        <v>证券买入</v>
      </c>
      <c r="D12" s="8" t="str">
        <f t="shared" si="14"/>
        <v>150181</v>
      </c>
      <c r="E12" s="8" t="str">
        <f t="shared" si="15"/>
        <v>军工A</v>
      </c>
      <c r="F12" s="8">
        <v>0.747</v>
      </c>
      <c r="G12" s="8">
        <v>10000</v>
      </c>
      <c r="H12" s="8">
        <v>7470</v>
      </c>
      <c r="I12" s="8">
        <v>-7475</v>
      </c>
      <c r="J12" s="8">
        <v>11756.21</v>
      </c>
      <c r="K12" s="8">
        <v>102400</v>
      </c>
      <c r="L12" s="8" t="str">
        <f t="shared" si="0"/>
        <v>人民币</v>
      </c>
      <c r="M12" s="8" t="str">
        <f>"T4000748"</f>
        <v>T4000748</v>
      </c>
      <c r="N12" s="8" t="str">
        <f t="shared" si="16"/>
        <v>0149593788</v>
      </c>
      <c r="O12" s="8" t="str">
        <f t="shared" si="1"/>
        <v>300100052893</v>
      </c>
    </row>
    <row r="13" spans="1:15">
      <c r="A13" s="8" t="str">
        <f t="shared" si="17"/>
        <v>20150708</v>
      </c>
      <c r="B13" s="8" t="str">
        <f t="shared" si="18"/>
        <v>20150708</v>
      </c>
      <c r="C13" s="8" t="str">
        <f t="shared" si="19"/>
        <v>证券买入</v>
      </c>
      <c r="D13" s="8" t="str">
        <f t="shared" ref="D13:D17" si="20">"510300"</f>
        <v>510300</v>
      </c>
      <c r="E13" s="8" t="str">
        <f t="shared" ref="E13:E17" si="21">"300ETF"</f>
        <v>300ETF</v>
      </c>
      <c r="F13" s="8">
        <v>3.511</v>
      </c>
      <c r="G13" s="8">
        <v>2000</v>
      </c>
      <c r="H13" s="8">
        <v>7022</v>
      </c>
      <c r="I13" s="8">
        <v>-7027</v>
      </c>
      <c r="J13" s="8">
        <v>4729.21</v>
      </c>
      <c r="K13" s="8">
        <v>11000</v>
      </c>
      <c r="L13" s="8" t="str">
        <f t="shared" si="0"/>
        <v>人民币</v>
      </c>
      <c r="M13" s="8" t="str">
        <f>"1361001544"</f>
        <v>1361001544</v>
      </c>
      <c r="N13" s="8" t="str">
        <f t="shared" ref="N13:N17" si="22">"A368402599"</f>
        <v>A368402599</v>
      </c>
      <c r="O13" s="8" t="str">
        <f t="shared" si="1"/>
        <v>300100052893</v>
      </c>
    </row>
    <row r="14" spans="1:15">
      <c r="A14" s="8" t="str">
        <f t="shared" si="17"/>
        <v>20150708</v>
      </c>
      <c r="B14" s="8" t="str">
        <f t="shared" si="18"/>
        <v>20150708</v>
      </c>
      <c r="C14" s="8" t="str">
        <f t="shared" si="13"/>
        <v>证券卖出</v>
      </c>
      <c r="D14" s="8" t="str">
        <f t="shared" si="20"/>
        <v>510300</v>
      </c>
      <c r="E14" s="8" t="str">
        <f t="shared" si="21"/>
        <v>300ETF</v>
      </c>
      <c r="F14" s="8">
        <v>3.62</v>
      </c>
      <c r="G14" s="8">
        <v>2000</v>
      </c>
      <c r="H14" s="8">
        <v>7240</v>
      </c>
      <c r="I14" s="8">
        <v>7235</v>
      </c>
      <c r="J14" s="8">
        <v>11964.21</v>
      </c>
      <c r="K14" s="8">
        <v>9000</v>
      </c>
      <c r="L14" s="8" t="str">
        <f t="shared" si="0"/>
        <v>人民币</v>
      </c>
      <c r="M14" s="8" t="str">
        <f>"1361007696"</f>
        <v>1361007696</v>
      </c>
      <c r="N14" s="8" t="str">
        <f t="shared" si="22"/>
        <v>A368402599</v>
      </c>
      <c r="O14" s="8" t="str">
        <f t="shared" si="1"/>
        <v>300100052893</v>
      </c>
    </row>
    <row r="15" spans="1:15">
      <c r="A15" s="8" t="str">
        <f>"20150709"</f>
        <v>20150709</v>
      </c>
      <c r="B15" s="8" t="str">
        <f>"20150709"</f>
        <v>20150709</v>
      </c>
      <c r="C15" s="8" t="str">
        <f t="shared" si="13"/>
        <v>证券卖出</v>
      </c>
      <c r="D15" s="8" t="str">
        <f t="shared" ref="D15:D19" si="23">"150181"</f>
        <v>150181</v>
      </c>
      <c r="E15" s="8" t="str">
        <f t="shared" ref="E15:E19" si="24">"军工A"</f>
        <v>军工A</v>
      </c>
      <c r="F15" s="8">
        <v>0.801</v>
      </c>
      <c r="G15" s="8">
        <v>10000</v>
      </c>
      <c r="H15" s="8">
        <v>8010</v>
      </c>
      <c r="I15" s="8">
        <v>8005</v>
      </c>
      <c r="J15" s="8">
        <v>19969.21</v>
      </c>
      <c r="K15" s="8">
        <v>92400</v>
      </c>
      <c r="L15" s="8" t="str">
        <f t="shared" si="0"/>
        <v>人民币</v>
      </c>
      <c r="M15" s="8" t="str">
        <f>"T4005909"</f>
        <v>T4005909</v>
      </c>
      <c r="N15" s="8" t="str">
        <f t="shared" ref="N15:N19" si="25">"0149593788"</f>
        <v>0149593788</v>
      </c>
      <c r="O15" s="8" t="str">
        <f t="shared" si="1"/>
        <v>300100052893</v>
      </c>
    </row>
    <row r="16" spans="1:15">
      <c r="A16" s="8" t="str">
        <f>"20150710"</f>
        <v>20150710</v>
      </c>
      <c r="B16" s="8" t="str">
        <f>"20150710"</f>
        <v>20150710</v>
      </c>
      <c r="C16" s="8" t="str">
        <f t="shared" si="13"/>
        <v>证券卖出</v>
      </c>
      <c r="D16" s="8" t="str">
        <f t="shared" si="20"/>
        <v>510300</v>
      </c>
      <c r="E16" s="8" t="str">
        <f t="shared" si="21"/>
        <v>300ETF</v>
      </c>
      <c r="F16" s="8">
        <v>4.08</v>
      </c>
      <c r="G16" s="8">
        <v>2000</v>
      </c>
      <c r="H16" s="8">
        <v>8160</v>
      </c>
      <c r="I16" s="8">
        <v>8155</v>
      </c>
      <c r="J16" s="8">
        <v>28124.21</v>
      </c>
      <c r="K16" s="8">
        <v>7000</v>
      </c>
      <c r="L16" s="8" t="str">
        <f t="shared" si="0"/>
        <v>人民币</v>
      </c>
      <c r="M16" s="8" t="str">
        <f>"1361006465"</f>
        <v>1361006465</v>
      </c>
      <c r="N16" s="8" t="str">
        <f t="shared" si="22"/>
        <v>A368402599</v>
      </c>
      <c r="O16" s="8" t="str">
        <f t="shared" si="1"/>
        <v>300100052893</v>
      </c>
    </row>
    <row r="17" spans="1:15">
      <c r="A17" s="8" t="str">
        <f>"20150713"</f>
        <v>20150713</v>
      </c>
      <c r="B17" s="8" t="str">
        <f>"20150713"</f>
        <v>20150713</v>
      </c>
      <c r="C17" s="8" t="str">
        <f t="shared" si="13"/>
        <v>证券卖出</v>
      </c>
      <c r="D17" s="8" t="str">
        <f t="shared" si="20"/>
        <v>510300</v>
      </c>
      <c r="E17" s="8" t="str">
        <f t="shared" si="21"/>
        <v>300ETF</v>
      </c>
      <c r="F17" s="8">
        <v>4.116</v>
      </c>
      <c r="G17" s="8">
        <v>7000</v>
      </c>
      <c r="H17" s="8">
        <v>28812</v>
      </c>
      <c r="I17" s="8">
        <v>28803.07</v>
      </c>
      <c r="J17" s="8">
        <v>56927.28</v>
      </c>
      <c r="K17" s="8">
        <v>0</v>
      </c>
      <c r="L17" s="8" t="str">
        <f t="shared" si="0"/>
        <v>人民币</v>
      </c>
      <c r="M17" s="8" t="str">
        <f>"1361006272"</f>
        <v>1361006272</v>
      </c>
      <c r="N17" s="8" t="str">
        <f t="shared" si="22"/>
        <v>A368402599</v>
      </c>
      <c r="O17" s="8" t="str">
        <f t="shared" si="1"/>
        <v>300100052893</v>
      </c>
    </row>
    <row r="18" spans="1:15">
      <c r="A18" s="8" t="str">
        <f t="shared" ref="A18:A20" si="26">"20150717"</f>
        <v>20150717</v>
      </c>
      <c r="B18" s="8" t="str">
        <f t="shared" ref="B18:B20" si="27">"20150717"</f>
        <v>20150717</v>
      </c>
      <c r="C18" s="8" t="str">
        <f t="shared" si="13"/>
        <v>证券卖出</v>
      </c>
      <c r="D18" s="8" t="str">
        <f t="shared" si="23"/>
        <v>150181</v>
      </c>
      <c r="E18" s="8" t="str">
        <f t="shared" si="24"/>
        <v>军工A</v>
      </c>
      <c r="F18" s="8">
        <v>0.874</v>
      </c>
      <c r="G18" s="8">
        <v>60000</v>
      </c>
      <c r="H18" s="8">
        <v>52440</v>
      </c>
      <c r="I18" s="8">
        <v>52423.74</v>
      </c>
      <c r="J18" s="8">
        <v>109351.02</v>
      </c>
      <c r="K18" s="8">
        <v>32400</v>
      </c>
      <c r="L18" s="8" t="str">
        <f t="shared" si="0"/>
        <v>人民币</v>
      </c>
      <c r="M18" s="8" t="str">
        <f>"T4004028"</f>
        <v>T4004028</v>
      </c>
      <c r="N18" s="8" t="str">
        <f t="shared" si="25"/>
        <v>0149593788</v>
      </c>
      <c r="O18" s="8" t="str">
        <f t="shared" si="1"/>
        <v>300100052893</v>
      </c>
    </row>
    <row r="19" spans="1:15">
      <c r="A19" s="8" t="str">
        <f t="shared" si="26"/>
        <v>20150717</v>
      </c>
      <c r="B19" s="8" t="str">
        <f t="shared" si="27"/>
        <v>20150717</v>
      </c>
      <c r="C19" s="8" t="str">
        <f t="shared" si="13"/>
        <v>证券卖出</v>
      </c>
      <c r="D19" s="8" t="str">
        <f t="shared" si="23"/>
        <v>150181</v>
      </c>
      <c r="E19" s="8" t="str">
        <f t="shared" si="24"/>
        <v>军工A</v>
      </c>
      <c r="F19" s="8">
        <v>0.875</v>
      </c>
      <c r="G19" s="8">
        <v>32400</v>
      </c>
      <c r="H19" s="8">
        <v>28350</v>
      </c>
      <c r="I19" s="8">
        <v>28341.21</v>
      </c>
      <c r="J19" s="8">
        <v>137692.23</v>
      </c>
      <c r="K19" s="8">
        <v>0</v>
      </c>
      <c r="L19" s="8" t="str">
        <f t="shared" si="0"/>
        <v>人民币</v>
      </c>
      <c r="M19" s="8" t="str">
        <f>"T4004756"</f>
        <v>T4004756</v>
      </c>
      <c r="N19" s="8" t="str">
        <f t="shared" si="25"/>
        <v>0149593788</v>
      </c>
      <c r="O19" s="8" t="str">
        <f t="shared" si="1"/>
        <v>300100052893</v>
      </c>
    </row>
    <row r="20" spans="1:15">
      <c r="A20" s="8" t="str">
        <f t="shared" si="26"/>
        <v>20150717</v>
      </c>
      <c r="B20" s="8" t="str">
        <f t="shared" si="27"/>
        <v>20150717</v>
      </c>
      <c r="C20" s="8" t="str">
        <f t="shared" ref="C20:C24" si="28">"证券买入"</f>
        <v>证券买入</v>
      </c>
      <c r="D20" s="8" t="str">
        <f t="shared" ref="D20:D31" si="29">"600219"</f>
        <v>600219</v>
      </c>
      <c r="E20" s="8" t="str">
        <f t="shared" ref="E20:E31" si="30">"南山铝业"</f>
        <v>南山铝业</v>
      </c>
      <c r="F20" s="8">
        <v>8.49</v>
      </c>
      <c r="G20" s="8">
        <v>2000</v>
      </c>
      <c r="H20" s="8">
        <v>16980</v>
      </c>
      <c r="I20" s="8">
        <v>-16986.46</v>
      </c>
      <c r="J20" s="8">
        <v>120705.77</v>
      </c>
      <c r="K20" s="8">
        <v>4400</v>
      </c>
      <c r="L20" s="8" t="str">
        <f t="shared" si="0"/>
        <v>人民币</v>
      </c>
      <c r="M20" s="8" t="str">
        <f>"1361010159"</f>
        <v>1361010159</v>
      </c>
      <c r="N20" s="8" t="str">
        <f t="shared" ref="N20:N31" si="31">"A368402599"</f>
        <v>A368402599</v>
      </c>
      <c r="O20" s="8" t="str">
        <f t="shared" si="1"/>
        <v>300100052893</v>
      </c>
    </row>
    <row r="21" spans="1:15">
      <c r="A21" s="8" t="str">
        <f>"20150720"</f>
        <v>20150720</v>
      </c>
      <c r="B21" s="8" t="str">
        <f>"20150720"</f>
        <v>20150720</v>
      </c>
      <c r="C21" s="8" t="str">
        <f t="shared" ref="C21:C26" si="32">"证券卖出"</f>
        <v>证券卖出</v>
      </c>
      <c r="D21" s="8" t="str">
        <f t="shared" si="29"/>
        <v>600219</v>
      </c>
      <c r="E21" s="8" t="str">
        <f t="shared" si="30"/>
        <v>南山铝业</v>
      </c>
      <c r="F21" s="8">
        <v>8.7</v>
      </c>
      <c r="G21" s="8">
        <v>2000</v>
      </c>
      <c r="H21" s="8">
        <v>17400</v>
      </c>
      <c r="I21" s="8">
        <v>17376.01</v>
      </c>
      <c r="J21" s="8">
        <v>138081.78</v>
      </c>
      <c r="K21" s="8">
        <v>2400</v>
      </c>
      <c r="L21" s="8" t="str">
        <f t="shared" si="0"/>
        <v>人民币</v>
      </c>
      <c r="M21" s="8" t="str">
        <f>"1361007277"</f>
        <v>1361007277</v>
      </c>
      <c r="N21" s="8" t="str">
        <f t="shared" si="31"/>
        <v>A368402599</v>
      </c>
      <c r="O21" s="8" t="str">
        <f t="shared" si="1"/>
        <v>300100052893</v>
      </c>
    </row>
    <row r="22" spans="1:15">
      <c r="A22" s="8" t="str">
        <f>"20150720"</f>
        <v>20150720</v>
      </c>
      <c r="B22" s="8" t="str">
        <f>"20150720"</f>
        <v>20150720</v>
      </c>
      <c r="C22" s="8" t="str">
        <f t="shared" si="28"/>
        <v>证券买入</v>
      </c>
      <c r="D22" s="8" t="str">
        <f t="shared" si="29"/>
        <v>600219</v>
      </c>
      <c r="E22" s="8" t="str">
        <f t="shared" si="30"/>
        <v>南山铝业</v>
      </c>
      <c r="F22" s="8">
        <v>8.6</v>
      </c>
      <c r="G22" s="8">
        <v>2000</v>
      </c>
      <c r="H22" s="8">
        <v>17200</v>
      </c>
      <c r="I22" s="8">
        <v>-17206.53</v>
      </c>
      <c r="J22" s="8">
        <v>120875.25</v>
      </c>
      <c r="K22" s="8">
        <v>4400</v>
      </c>
      <c r="L22" s="8" t="str">
        <f t="shared" si="0"/>
        <v>人民币</v>
      </c>
      <c r="M22" s="8" t="str">
        <f>"1361008249"</f>
        <v>1361008249</v>
      </c>
      <c r="N22" s="8" t="str">
        <f t="shared" si="31"/>
        <v>A368402599</v>
      </c>
      <c r="O22" s="8" t="str">
        <f t="shared" si="1"/>
        <v>300100052893</v>
      </c>
    </row>
    <row r="23" spans="1:15">
      <c r="A23" s="8" t="str">
        <f t="shared" ref="A23:A25" si="33">"20150721"</f>
        <v>20150721</v>
      </c>
      <c r="B23" s="8" t="str">
        <f t="shared" ref="B23:B25" si="34">"20150721"</f>
        <v>20150721</v>
      </c>
      <c r="C23" s="8" t="str">
        <f t="shared" si="28"/>
        <v>证券买入</v>
      </c>
      <c r="D23" s="8" t="str">
        <f t="shared" si="29"/>
        <v>600219</v>
      </c>
      <c r="E23" s="8" t="str">
        <f t="shared" si="30"/>
        <v>南山铝业</v>
      </c>
      <c r="F23" s="8">
        <v>8.31</v>
      </c>
      <c r="G23" s="8">
        <v>2000</v>
      </c>
      <c r="H23" s="8">
        <v>16620</v>
      </c>
      <c r="I23" s="8">
        <v>-16626.35</v>
      </c>
      <c r="J23" s="8">
        <v>104248.9</v>
      </c>
      <c r="K23" s="8">
        <v>6400</v>
      </c>
      <c r="L23" s="8" t="str">
        <f t="shared" si="0"/>
        <v>人民币</v>
      </c>
      <c r="M23" s="8" t="str">
        <f>"1361002657"</f>
        <v>1361002657</v>
      </c>
      <c r="N23" s="8" t="str">
        <f t="shared" si="31"/>
        <v>A368402599</v>
      </c>
      <c r="O23" s="8" t="str">
        <f t="shared" si="1"/>
        <v>300100052893</v>
      </c>
    </row>
    <row r="24" spans="1:15">
      <c r="A24" s="8" t="str">
        <f t="shared" si="33"/>
        <v>20150721</v>
      </c>
      <c r="B24" s="8" t="str">
        <f t="shared" si="34"/>
        <v>20150721</v>
      </c>
      <c r="C24" s="8" t="str">
        <f t="shared" si="28"/>
        <v>证券买入</v>
      </c>
      <c r="D24" s="8" t="str">
        <f t="shared" si="29"/>
        <v>600219</v>
      </c>
      <c r="E24" s="8" t="str">
        <f t="shared" si="30"/>
        <v>南山铝业</v>
      </c>
      <c r="F24" s="8">
        <v>8.36</v>
      </c>
      <c r="G24" s="8">
        <v>4000</v>
      </c>
      <c r="H24" s="8">
        <v>33440</v>
      </c>
      <c r="I24" s="8">
        <v>-33452.77</v>
      </c>
      <c r="J24" s="8">
        <v>70796.13</v>
      </c>
      <c r="K24" s="8">
        <v>10400</v>
      </c>
      <c r="L24" s="8" t="str">
        <f t="shared" si="0"/>
        <v>人民币</v>
      </c>
      <c r="M24" s="8" t="str">
        <f>"1361002725"</f>
        <v>1361002725</v>
      </c>
      <c r="N24" s="8" t="str">
        <f t="shared" si="31"/>
        <v>A368402599</v>
      </c>
      <c r="O24" s="8" t="str">
        <f t="shared" si="1"/>
        <v>300100052893</v>
      </c>
    </row>
    <row r="25" spans="1:15">
      <c r="A25" s="8" t="str">
        <f t="shared" si="33"/>
        <v>20150721</v>
      </c>
      <c r="B25" s="8" t="str">
        <f t="shared" si="34"/>
        <v>20150721</v>
      </c>
      <c r="C25" s="8" t="str">
        <f t="shared" si="32"/>
        <v>证券卖出</v>
      </c>
      <c r="D25" s="8" t="str">
        <f t="shared" si="29"/>
        <v>600219</v>
      </c>
      <c r="E25" s="8" t="str">
        <f t="shared" si="30"/>
        <v>南山铝业</v>
      </c>
      <c r="F25" s="8">
        <v>8.6</v>
      </c>
      <c r="G25" s="8">
        <v>2000</v>
      </c>
      <c r="H25" s="8">
        <v>17200</v>
      </c>
      <c r="I25" s="8">
        <v>17176.27</v>
      </c>
      <c r="J25" s="8">
        <v>87972.4</v>
      </c>
      <c r="K25" s="8">
        <v>8400</v>
      </c>
      <c r="L25" s="8" t="str">
        <f t="shared" si="0"/>
        <v>人民币</v>
      </c>
      <c r="M25" s="8" t="str">
        <f>"1361012820"</f>
        <v>1361012820</v>
      </c>
      <c r="N25" s="8" t="str">
        <f t="shared" si="31"/>
        <v>A368402599</v>
      </c>
      <c r="O25" s="8" t="str">
        <f t="shared" si="1"/>
        <v>300100052893</v>
      </c>
    </row>
    <row r="26" spans="1:15">
      <c r="A26" s="8" t="str">
        <f t="shared" ref="A26:A28" si="35">"20150722"</f>
        <v>20150722</v>
      </c>
      <c r="B26" s="8" t="str">
        <f t="shared" ref="B26:B28" si="36">"20150722"</f>
        <v>20150722</v>
      </c>
      <c r="C26" s="8" t="str">
        <f t="shared" si="32"/>
        <v>证券卖出</v>
      </c>
      <c r="D26" s="8" t="str">
        <f t="shared" si="29"/>
        <v>600219</v>
      </c>
      <c r="E26" s="8" t="str">
        <f t="shared" si="30"/>
        <v>南山铝业</v>
      </c>
      <c r="F26" s="8">
        <v>8.49</v>
      </c>
      <c r="G26" s="8">
        <v>4000</v>
      </c>
      <c r="H26" s="8">
        <v>33960</v>
      </c>
      <c r="I26" s="8">
        <v>33913.11</v>
      </c>
      <c r="J26" s="8">
        <v>121885.51</v>
      </c>
      <c r="K26" s="8">
        <v>4400</v>
      </c>
      <c r="L26" s="8" t="str">
        <f t="shared" si="0"/>
        <v>人民币</v>
      </c>
      <c r="M26" s="8" t="str">
        <f>"1361007810"</f>
        <v>1361007810</v>
      </c>
      <c r="N26" s="8" t="str">
        <f t="shared" si="31"/>
        <v>A368402599</v>
      </c>
      <c r="O26" s="8" t="str">
        <f t="shared" si="1"/>
        <v>300100052893</v>
      </c>
    </row>
    <row r="27" spans="1:15">
      <c r="A27" s="8" t="str">
        <f t="shared" si="35"/>
        <v>20150722</v>
      </c>
      <c r="B27" s="8" t="str">
        <f t="shared" si="36"/>
        <v>20150722</v>
      </c>
      <c r="C27" s="8" t="str">
        <f>"证券买入"</f>
        <v>证券买入</v>
      </c>
      <c r="D27" s="8" t="str">
        <f t="shared" si="29"/>
        <v>600219</v>
      </c>
      <c r="E27" s="8" t="str">
        <f t="shared" si="30"/>
        <v>南山铝业</v>
      </c>
      <c r="F27" s="8">
        <v>8.34</v>
      </c>
      <c r="G27" s="8">
        <v>2000</v>
      </c>
      <c r="H27" s="8">
        <v>16680</v>
      </c>
      <c r="I27" s="8">
        <v>-16686.37</v>
      </c>
      <c r="J27" s="8">
        <v>105199.14</v>
      </c>
      <c r="K27" s="8">
        <v>6400</v>
      </c>
      <c r="L27" s="8" t="str">
        <f t="shared" si="0"/>
        <v>人民币</v>
      </c>
      <c r="M27" s="8" t="str">
        <f>"1361012085"</f>
        <v>1361012085</v>
      </c>
      <c r="N27" s="8" t="str">
        <f t="shared" si="31"/>
        <v>A368402599</v>
      </c>
      <c r="O27" s="8" t="str">
        <f t="shared" si="1"/>
        <v>300100052893</v>
      </c>
    </row>
    <row r="28" spans="1:15">
      <c r="A28" s="8" t="str">
        <f t="shared" si="35"/>
        <v>20150722</v>
      </c>
      <c r="B28" s="8" t="str">
        <f t="shared" si="36"/>
        <v>20150722</v>
      </c>
      <c r="C28" s="8" t="str">
        <f>"证券卖出"</f>
        <v>证券卖出</v>
      </c>
      <c r="D28" s="8" t="str">
        <f t="shared" si="29"/>
        <v>600219</v>
      </c>
      <c r="E28" s="8" t="str">
        <f t="shared" si="30"/>
        <v>南山铝业</v>
      </c>
      <c r="F28" s="8">
        <v>8.234</v>
      </c>
      <c r="G28" s="8">
        <v>4400</v>
      </c>
      <c r="H28" s="8">
        <v>36229.5</v>
      </c>
      <c r="I28" s="8">
        <v>36179.4</v>
      </c>
      <c r="J28" s="8">
        <v>141378.54</v>
      </c>
      <c r="K28" s="8">
        <v>2000</v>
      </c>
      <c r="L28" s="8" t="str">
        <f t="shared" si="0"/>
        <v>人民币</v>
      </c>
      <c r="M28" s="8" t="str">
        <f>"1361012937"</f>
        <v>1361012937</v>
      </c>
      <c r="N28" s="8" t="str">
        <f t="shared" si="31"/>
        <v>A368402599</v>
      </c>
      <c r="O28" s="8" t="str">
        <f t="shared" si="1"/>
        <v>300100052893</v>
      </c>
    </row>
    <row r="29" spans="1:15">
      <c r="A29" s="8" t="str">
        <f t="shared" ref="A29:A35" si="37">"20150723"</f>
        <v>20150723</v>
      </c>
      <c r="B29" s="8" t="str">
        <f t="shared" ref="B29:B31" si="38">"0"</f>
        <v>0</v>
      </c>
      <c r="C29" s="8" t="str">
        <f t="shared" ref="C29:C31" si="39">"股息红利差异扣税"</f>
        <v>股息红利差异扣税</v>
      </c>
      <c r="D29" s="8" t="str">
        <f t="shared" si="29"/>
        <v>600219</v>
      </c>
      <c r="E29" s="8" t="str">
        <f t="shared" si="30"/>
        <v>南山铝业</v>
      </c>
      <c r="F29" s="8">
        <v>0</v>
      </c>
      <c r="G29" s="8">
        <v>0</v>
      </c>
      <c r="H29" s="8">
        <v>0</v>
      </c>
      <c r="I29" s="8">
        <v>-5</v>
      </c>
      <c r="J29" s="8">
        <v>141373.54</v>
      </c>
      <c r="K29" s="8">
        <v>0</v>
      </c>
      <c r="L29" s="8" t="str">
        <f t="shared" si="0"/>
        <v>人民币</v>
      </c>
      <c r="N29" s="8" t="str">
        <f t="shared" si="31"/>
        <v>A368402599</v>
      </c>
      <c r="O29" s="8" t="str">
        <f t="shared" si="1"/>
        <v>300100052893</v>
      </c>
    </row>
    <row r="30" spans="1:15">
      <c r="A30" s="8" t="str">
        <f t="shared" si="37"/>
        <v>20150723</v>
      </c>
      <c r="B30" s="8" t="str">
        <f t="shared" si="38"/>
        <v>0</v>
      </c>
      <c r="C30" s="8" t="str">
        <f t="shared" si="39"/>
        <v>股息红利差异扣税</v>
      </c>
      <c r="D30" s="8" t="str">
        <f t="shared" si="29"/>
        <v>600219</v>
      </c>
      <c r="E30" s="8" t="str">
        <f t="shared" si="30"/>
        <v>南山铝业</v>
      </c>
      <c r="F30" s="8">
        <v>0</v>
      </c>
      <c r="G30" s="8">
        <v>0</v>
      </c>
      <c r="H30" s="8">
        <v>0</v>
      </c>
      <c r="I30" s="8">
        <v>-5</v>
      </c>
      <c r="J30" s="8">
        <v>141368.54</v>
      </c>
      <c r="K30" s="8">
        <v>0</v>
      </c>
      <c r="L30" s="8" t="str">
        <f t="shared" si="0"/>
        <v>人民币</v>
      </c>
      <c r="N30" s="8" t="str">
        <f t="shared" si="31"/>
        <v>A368402599</v>
      </c>
      <c r="O30" s="8" t="str">
        <f t="shared" si="1"/>
        <v>300100052893</v>
      </c>
    </row>
    <row r="31" spans="1:15">
      <c r="A31" s="8" t="str">
        <f t="shared" si="37"/>
        <v>20150723</v>
      </c>
      <c r="B31" s="8" t="str">
        <f t="shared" si="38"/>
        <v>0</v>
      </c>
      <c r="C31" s="8" t="str">
        <f t="shared" si="39"/>
        <v>股息红利差异扣税</v>
      </c>
      <c r="D31" s="8" t="str">
        <f t="shared" si="29"/>
        <v>600219</v>
      </c>
      <c r="E31" s="8" t="str">
        <f t="shared" si="30"/>
        <v>南山铝业</v>
      </c>
      <c r="F31" s="8">
        <v>0</v>
      </c>
      <c r="G31" s="8">
        <v>0</v>
      </c>
      <c r="H31" s="8">
        <v>0</v>
      </c>
      <c r="I31" s="8">
        <v>-2</v>
      </c>
      <c r="J31" s="8">
        <v>141366.54</v>
      </c>
      <c r="K31" s="8">
        <v>0</v>
      </c>
      <c r="L31" s="8" t="str">
        <f t="shared" si="0"/>
        <v>人民币</v>
      </c>
      <c r="N31" s="8" t="str">
        <f t="shared" si="31"/>
        <v>A368402599</v>
      </c>
      <c r="O31" s="8" t="str">
        <f t="shared" si="1"/>
        <v>300100052893</v>
      </c>
    </row>
    <row r="32" spans="1:15">
      <c r="A32" s="8" t="str">
        <f t="shared" si="37"/>
        <v>20150723</v>
      </c>
      <c r="B32" s="8" t="str">
        <f t="shared" ref="B32:B35" si="40">"20150723"</f>
        <v>20150723</v>
      </c>
      <c r="C32" s="8" t="str">
        <f t="shared" ref="C32:C35" si="41">"证券买入"</f>
        <v>证券买入</v>
      </c>
      <c r="D32" s="8" t="str">
        <f>"150181"</f>
        <v>150181</v>
      </c>
      <c r="E32" s="8" t="str">
        <f>"军工A"</f>
        <v>军工A</v>
      </c>
      <c r="F32" s="8">
        <v>0.816</v>
      </c>
      <c r="G32" s="8">
        <v>30000</v>
      </c>
      <c r="H32" s="8">
        <v>24480</v>
      </c>
      <c r="I32" s="8">
        <v>-24487.59</v>
      </c>
      <c r="J32" s="8">
        <v>116878.95</v>
      </c>
      <c r="K32" s="8">
        <v>30000</v>
      </c>
      <c r="L32" s="8" t="str">
        <f t="shared" si="0"/>
        <v>人民币</v>
      </c>
      <c r="M32" s="8" t="str">
        <f>"T4002344"</f>
        <v>T4002344</v>
      </c>
      <c r="N32" s="8" t="str">
        <f t="shared" ref="N32:N34" si="42">"0149593788"</f>
        <v>0149593788</v>
      </c>
      <c r="O32" s="8" t="str">
        <f t="shared" si="1"/>
        <v>300100052893</v>
      </c>
    </row>
    <row r="33" spans="1:15">
      <c r="A33" s="8" t="str">
        <f t="shared" si="37"/>
        <v>20150723</v>
      </c>
      <c r="B33" s="8" t="str">
        <f t="shared" si="40"/>
        <v>20150723</v>
      </c>
      <c r="C33" s="8" t="str">
        <f t="shared" si="41"/>
        <v>证券买入</v>
      </c>
      <c r="D33" s="8" t="str">
        <f>"150175"</f>
        <v>150175</v>
      </c>
      <c r="E33" s="8" t="str">
        <f>"H股A"</f>
        <v>H股A</v>
      </c>
      <c r="F33" s="8">
        <v>0.861</v>
      </c>
      <c r="G33" s="8">
        <v>30000</v>
      </c>
      <c r="H33" s="8">
        <v>25830</v>
      </c>
      <c r="I33" s="8">
        <v>-25838.01</v>
      </c>
      <c r="J33" s="8">
        <v>91040.94</v>
      </c>
      <c r="K33" s="8">
        <v>30000</v>
      </c>
      <c r="L33" s="8" t="str">
        <f t="shared" si="0"/>
        <v>人民币</v>
      </c>
      <c r="M33" s="8" t="str">
        <f>"T4003392"</f>
        <v>T4003392</v>
      </c>
      <c r="N33" s="8" t="str">
        <f t="shared" si="42"/>
        <v>0149593788</v>
      </c>
      <c r="O33" s="8" t="str">
        <f t="shared" si="1"/>
        <v>300100052893</v>
      </c>
    </row>
    <row r="34" spans="1:15">
      <c r="A34" s="8" t="str">
        <f t="shared" si="37"/>
        <v>20150723</v>
      </c>
      <c r="B34" s="8" t="str">
        <f t="shared" si="40"/>
        <v>20150723</v>
      </c>
      <c r="C34" s="8" t="str">
        <f t="shared" si="41"/>
        <v>证券买入</v>
      </c>
      <c r="D34" s="8" t="str">
        <f>"150175"</f>
        <v>150175</v>
      </c>
      <c r="E34" s="8" t="str">
        <f>"H股A"</f>
        <v>H股A</v>
      </c>
      <c r="F34" s="8">
        <v>0.851</v>
      </c>
      <c r="G34" s="8">
        <v>30000</v>
      </c>
      <c r="H34" s="8">
        <v>25530</v>
      </c>
      <c r="I34" s="8">
        <v>-25537.91</v>
      </c>
      <c r="J34" s="8">
        <v>65503.03</v>
      </c>
      <c r="K34" s="8">
        <v>60000</v>
      </c>
      <c r="L34" s="8" t="str">
        <f t="shared" si="0"/>
        <v>人民币</v>
      </c>
      <c r="M34" s="8" t="str">
        <f>"T4007046"</f>
        <v>T4007046</v>
      </c>
      <c r="N34" s="8" t="str">
        <f t="shared" si="42"/>
        <v>0149593788</v>
      </c>
      <c r="O34" s="8" t="str">
        <f t="shared" si="1"/>
        <v>300100052893</v>
      </c>
    </row>
    <row r="35" spans="1:15">
      <c r="A35" s="8" t="str">
        <f t="shared" si="37"/>
        <v>20150723</v>
      </c>
      <c r="B35" s="8" t="str">
        <f t="shared" si="40"/>
        <v>20150723</v>
      </c>
      <c r="C35" s="8" t="str">
        <f t="shared" si="41"/>
        <v>证券买入</v>
      </c>
      <c r="D35" s="8" t="str">
        <f t="shared" ref="D35:D38" si="43">"600219"</f>
        <v>600219</v>
      </c>
      <c r="E35" s="8" t="str">
        <f t="shared" ref="E35:E38" si="44">"南山铝业"</f>
        <v>南山铝业</v>
      </c>
      <c r="F35" s="8">
        <v>8.65</v>
      </c>
      <c r="G35" s="8">
        <v>4000</v>
      </c>
      <c r="H35" s="8">
        <v>34600</v>
      </c>
      <c r="I35" s="8">
        <v>-34613.13</v>
      </c>
      <c r="J35" s="8">
        <v>30889.9</v>
      </c>
      <c r="K35" s="8">
        <v>6000</v>
      </c>
      <c r="L35" s="8" t="str">
        <f t="shared" si="0"/>
        <v>人民币</v>
      </c>
      <c r="M35" s="8" t="str">
        <f>"1361010992"</f>
        <v>1361010992</v>
      </c>
      <c r="N35" s="8" t="str">
        <f t="shared" ref="N35:N38" si="45">"A368402599"</f>
        <v>A368402599</v>
      </c>
      <c r="O35" s="8" t="str">
        <f t="shared" si="1"/>
        <v>300100052893</v>
      </c>
    </row>
    <row r="36" spans="1:15">
      <c r="A36" s="8" t="str">
        <f>"20150724"</f>
        <v>20150724</v>
      </c>
      <c r="B36" s="8" t="str">
        <f>"20150724"</f>
        <v>20150724</v>
      </c>
      <c r="C36" s="8" t="str">
        <f>"证券卖出"</f>
        <v>证券卖出</v>
      </c>
      <c r="D36" s="8" t="str">
        <f t="shared" si="43"/>
        <v>600219</v>
      </c>
      <c r="E36" s="8" t="str">
        <f t="shared" si="44"/>
        <v>南山铝业</v>
      </c>
      <c r="F36" s="8">
        <v>8.86</v>
      </c>
      <c r="G36" s="8">
        <v>2000</v>
      </c>
      <c r="H36" s="8">
        <v>17720</v>
      </c>
      <c r="I36" s="8">
        <v>17695.59</v>
      </c>
      <c r="J36" s="8">
        <v>48585.49</v>
      </c>
      <c r="K36" s="8">
        <v>4000</v>
      </c>
      <c r="L36" s="8" t="str">
        <f t="shared" si="0"/>
        <v>人民币</v>
      </c>
      <c r="M36" s="8" t="str">
        <f>"1361013401"</f>
        <v>1361013401</v>
      </c>
      <c r="N36" s="8" t="str">
        <f t="shared" si="45"/>
        <v>A368402599</v>
      </c>
      <c r="O36" s="8" t="str">
        <f t="shared" si="1"/>
        <v>300100052893</v>
      </c>
    </row>
    <row r="37" spans="1:15">
      <c r="A37" s="8" t="str">
        <f t="shared" ref="A37:A40" si="46">"20150727"</f>
        <v>20150727</v>
      </c>
      <c r="B37" s="8" t="str">
        <f t="shared" ref="B37:B40" si="47">"20150727"</f>
        <v>20150727</v>
      </c>
      <c r="C37" s="8" t="str">
        <f>"银行转证券"</f>
        <v>银行转证券</v>
      </c>
      <c r="F37" s="8">
        <v>0</v>
      </c>
      <c r="G37" s="8">
        <v>0</v>
      </c>
      <c r="H37" s="8">
        <v>0</v>
      </c>
      <c r="I37" s="8">
        <v>10000</v>
      </c>
      <c r="J37" s="8">
        <v>58585.49</v>
      </c>
      <c r="K37" s="8">
        <v>0</v>
      </c>
      <c r="L37" s="8" t="str">
        <f t="shared" si="0"/>
        <v>人民币</v>
      </c>
      <c r="O37" s="8" t="str">
        <f t="shared" si="1"/>
        <v>300100052893</v>
      </c>
    </row>
    <row r="38" spans="1:15">
      <c r="A38" s="8" t="str">
        <f t="shared" si="46"/>
        <v>20150727</v>
      </c>
      <c r="B38" s="8" t="str">
        <f t="shared" si="47"/>
        <v>20150727</v>
      </c>
      <c r="C38" s="8" t="str">
        <f t="shared" ref="C38:C40" si="48">"证券买入"</f>
        <v>证券买入</v>
      </c>
      <c r="D38" s="8" t="str">
        <f t="shared" si="43"/>
        <v>600219</v>
      </c>
      <c r="E38" s="8" t="str">
        <f t="shared" si="44"/>
        <v>南山铝业</v>
      </c>
      <c r="F38" s="8">
        <v>8.44</v>
      </c>
      <c r="G38" s="8">
        <v>2000</v>
      </c>
      <c r="H38" s="8">
        <v>16880</v>
      </c>
      <c r="I38" s="8">
        <v>-16886.43</v>
      </c>
      <c r="J38" s="8">
        <v>41699.06</v>
      </c>
      <c r="K38" s="8">
        <v>6000</v>
      </c>
      <c r="L38" s="8" t="str">
        <f t="shared" si="0"/>
        <v>人民币</v>
      </c>
      <c r="M38" s="8" t="str">
        <f>"1361002420"</f>
        <v>1361002420</v>
      </c>
      <c r="N38" s="8" t="str">
        <f t="shared" si="45"/>
        <v>A368402599</v>
      </c>
      <c r="O38" s="8" t="str">
        <f t="shared" si="1"/>
        <v>300100052893</v>
      </c>
    </row>
    <row r="39" spans="1:15">
      <c r="A39" s="8" t="str">
        <f t="shared" si="46"/>
        <v>20150727</v>
      </c>
      <c r="B39" s="8" t="str">
        <f t="shared" si="47"/>
        <v>20150727</v>
      </c>
      <c r="C39" s="8" t="str">
        <f t="shared" si="48"/>
        <v>证券买入</v>
      </c>
      <c r="D39" s="8" t="str">
        <f>"150181"</f>
        <v>150181</v>
      </c>
      <c r="E39" s="8" t="str">
        <f>"军工A"</f>
        <v>军工A</v>
      </c>
      <c r="F39" s="8">
        <v>0.822</v>
      </c>
      <c r="G39" s="8">
        <v>30000</v>
      </c>
      <c r="H39" s="8">
        <v>24660</v>
      </c>
      <c r="I39" s="8">
        <v>-24667.64</v>
      </c>
      <c r="J39" s="8">
        <v>17031.42</v>
      </c>
      <c r="K39" s="8">
        <v>60000</v>
      </c>
      <c r="L39" s="8" t="str">
        <f t="shared" si="0"/>
        <v>人民币</v>
      </c>
      <c r="M39" s="8" t="str">
        <f>"T4002920"</f>
        <v>T4002920</v>
      </c>
      <c r="N39" s="8" t="str">
        <f t="shared" ref="N39:N47" si="49">"0149593788"</f>
        <v>0149593788</v>
      </c>
      <c r="O39" s="8" t="str">
        <f t="shared" si="1"/>
        <v>300100052893</v>
      </c>
    </row>
    <row r="40" spans="1:15">
      <c r="A40" s="8" t="str">
        <f t="shared" si="46"/>
        <v>20150727</v>
      </c>
      <c r="B40" s="8" t="str">
        <f t="shared" si="47"/>
        <v>20150727</v>
      </c>
      <c r="C40" s="8" t="str">
        <f t="shared" si="48"/>
        <v>证券买入</v>
      </c>
      <c r="D40" s="8" t="str">
        <f t="shared" ref="D40:D42" si="50">"600219"</f>
        <v>600219</v>
      </c>
      <c r="E40" s="8" t="str">
        <f t="shared" ref="E40:E42" si="51">"南山铝业"</f>
        <v>南山铝业</v>
      </c>
      <c r="F40" s="8">
        <v>7.77</v>
      </c>
      <c r="G40" s="8">
        <v>1000</v>
      </c>
      <c r="H40" s="8">
        <v>7770</v>
      </c>
      <c r="I40" s="8">
        <v>-7775.6</v>
      </c>
      <c r="J40" s="8">
        <v>9255.82</v>
      </c>
      <c r="K40" s="8">
        <v>7000</v>
      </c>
      <c r="L40" s="8" t="str">
        <f t="shared" si="0"/>
        <v>人民币</v>
      </c>
      <c r="M40" s="8" t="str">
        <f>"1361016208"</f>
        <v>1361016208</v>
      </c>
      <c r="N40" s="8" t="str">
        <f t="shared" ref="N40:N42" si="52">"A368402599"</f>
        <v>A368402599</v>
      </c>
      <c r="O40" s="8" t="str">
        <f t="shared" si="1"/>
        <v>300100052893</v>
      </c>
    </row>
    <row r="41" spans="1:15">
      <c r="A41" s="8" t="str">
        <f t="shared" ref="A41:A45" si="53">"20150728"</f>
        <v>20150728</v>
      </c>
      <c r="B41" s="8" t="str">
        <f t="shared" ref="B41:B45" si="54">"20150728"</f>
        <v>20150728</v>
      </c>
      <c r="C41" s="8" t="str">
        <f t="shared" ref="C41:C44" si="55">"证券卖出"</f>
        <v>证券卖出</v>
      </c>
      <c r="D41" s="8" t="str">
        <f t="shared" si="50"/>
        <v>600219</v>
      </c>
      <c r="E41" s="8" t="str">
        <f t="shared" si="51"/>
        <v>南山铝业</v>
      </c>
      <c r="F41" s="8">
        <v>7.287</v>
      </c>
      <c r="G41" s="8">
        <v>7000</v>
      </c>
      <c r="H41" s="8">
        <v>51008</v>
      </c>
      <c r="I41" s="8">
        <v>50936.99</v>
      </c>
      <c r="J41" s="8">
        <v>60192.81</v>
      </c>
      <c r="K41" s="8">
        <v>0</v>
      </c>
      <c r="L41" s="8" t="str">
        <f t="shared" si="0"/>
        <v>人民币</v>
      </c>
      <c r="M41" s="8" t="str">
        <f>"1361001771"</f>
        <v>1361001771</v>
      </c>
      <c r="N41" s="8" t="str">
        <f t="shared" si="52"/>
        <v>A368402599</v>
      </c>
      <c r="O41" s="8" t="str">
        <f t="shared" si="1"/>
        <v>300100052893</v>
      </c>
    </row>
    <row r="42" spans="1:15">
      <c r="A42" s="8" t="str">
        <f t="shared" si="53"/>
        <v>20150728</v>
      </c>
      <c r="B42" s="8" t="str">
        <f t="shared" si="54"/>
        <v>20150728</v>
      </c>
      <c r="C42" s="8" t="str">
        <f t="shared" ref="C42:C51" si="56">"证券买入"</f>
        <v>证券买入</v>
      </c>
      <c r="D42" s="8" t="str">
        <f t="shared" si="50"/>
        <v>600219</v>
      </c>
      <c r="E42" s="8" t="str">
        <f t="shared" si="51"/>
        <v>南山铝业</v>
      </c>
      <c r="F42" s="8">
        <v>7.46</v>
      </c>
      <c r="G42" s="8">
        <v>7000</v>
      </c>
      <c r="H42" s="8">
        <v>52220</v>
      </c>
      <c r="I42" s="8">
        <v>-52240.39</v>
      </c>
      <c r="J42" s="8">
        <v>7952.42</v>
      </c>
      <c r="K42" s="8">
        <v>7000</v>
      </c>
      <c r="L42" s="8" t="str">
        <f t="shared" si="0"/>
        <v>人民币</v>
      </c>
      <c r="M42" s="8" t="str">
        <f>"1361002121"</f>
        <v>1361002121</v>
      </c>
      <c r="N42" s="8" t="str">
        <f t="shared" si="52"/>
        <v>A368402599</v>
      </c>
      <c r="O42" s="8" t="str">
        <f t="shared" si="1"/>
        <v>300100052893</v>
      </c>
    </row>
    <row r="43" spans="1:15">
      <c r="A43" s="8" t="str">
        <f t="shared" si="53"/>
        <v>20150728</v>
      </c>
      <c r="B43" s="8" t="str">
        <f t="shared" si="54"/>
        <v>20150728</v>
      </c>
      <c r="C43" s="8" t="str">
        <f t="shared" si="55"/>
        <v>证券卖出</v>
      </c>
      <c r="D43" s="8" t="str">
        <f>"150181"</f>
        <v>150181</v>
      </c>
      <c r="E43" s="8" t="str">
        <f>"军工A"</f>
        <v>军工A</v>
      </c>
      <c r="F43" s="8">
        <v>0.844</v>
      </c>
      <c r="G43" s="8">
        <v>60000</v>
      </c>
      <c r="H43" s="8">
        <v>50640</v>
      </c>
      <c r="I43" s="8">
        <v>50624.3</v>
      </c>
      <c r="J43" s="8">
        <v>58576.72</v>
      </c>
      <c r="K43" s="8">
        <v>0</v>
      </c>
      <c r="L43" s="8" t="str">
        <f t="shared" si="0"/>
        <v>人民币</v>
      </c>
      <c r="M43" s="8" t="str">
        <f>"T4004935"</f>
        <v>T4004935</v>
      </c>
      <c r="N43" s="8" t="str">
        <f t="shared" si="49"/>
        <v>0149593788</v>
      </c>
      <c r="O43" s="8" t="str">
        <f t="shared" si="1"/>
        <v>300100052893</v>
      </c>
    </row>
    <row r="44" spans="1:15">
      <c r="A44" s="8" t="str">
        <f t="shared" si="53"/>
        <v>20150728</v>
      </c>
      <c r="B44" s="8" t="str">
        <f t="shared" si="54"/>
        <v>20150728</v>
      </c>
      <c r="C44" s="8" t="str">
        <f t="shared" si="55"/>
        <v>证券卖出</v>
      </c>
      <c r="D44" s="8" t="str">
        <f>"150175"</f>
        <v>150175</v>
      </c>
      <c r="E44" s="8" t="str">
        <f>"H股A"</f>
        <v>H股A</v>
      </c>
      <c r="F44" s="8">
        <v>0.878</v>
      </c>
      <c r="G44" s="8">
        <v>60000</v>
      </c>
      <c r="H44" s="8">
        <v>52680</v>
      </c>
      <c r="I44" s="8">
        <v>52663.67</v>
      </c>
      <c r="J44" s="8">
        <v>111240.39</v>
      </c>
      <c r="K44" s="8">
        <v>0</v>
      </c>
      <c r="L44" s="8" t="str">
        <f t="shared" si="0"/>
        <v>人民币</v>
      </c>
      <c r="M44" s="8" t="str">
        <f>"T4006393"</f>
        <v>T4006393</v>
      </c>
      <c r="N44" s="8" t="str">
        <f t="shared" si="49"/>
        <v>0149593788</v>
      </c>
      <c r="O44" s="8" t="str">
        <f t="shared" si="1"/>
        <v>300100052893</v>
      </c>
    </row>
    <row r="45" spans="1:15">
      <c r="A45" s="8" t="str">
        <f t="shared" si="53"/>
        <v>20150728</v>
      </c>
      <c r="B45" s="8" t="str">
        <f t="shared" si="54"/>
        <v>20150728</v>
      </c>
      <c r="C45" s="8" t="str">
        <f t="shared" si="56"/>
        <v>证券买入</v>
      </c>
      <c r="D45" s="8" t="str">
        <f t="shared" ref="D45:D47" si="57">"150295"</f>
        <v>150295</v>
      </c>
      <c r="E45" s="8" t="str">
        <f t="shared" ref="E45:E47" si="58">"改革A"</f>
        <v>改革A</v>
      </c>
      <c r="F45" s="8">
        <v>0.86</v>
      </c>
      <c r="G45" s="8">
        <v>30000</v>
      </c>
      <c r="H45" s="8">
        <v>25800</v>
      </c>
      <c r="I45" s="8">
        <v>-25808</v>
      </c>
      <c r="J45" s="8">
        <v>85432.39</v>
      </c>
      <c r="K45" s="8">
        <v>30000</v>
      </c>
      <c r="L45" s="8" t="str">
        <f t="shared" si="0"/>
        <v>人民币</v>
      </c>
      <c r="M45" s="8" t="str">
        <f>"T4009541"</f>
        <v>T4009541</v>
      </c>
      <c r="N45" s="8" t="str">
        <f t="shared" si="49"/>
        <v>0149593788</v>
      </c>
      <c r="O45" s="8" t="str">
        <f t="shared" si="1"/>
        <v>300100052893</v>
      </c>
    </row>
    <row r="46" spans="1:15">
      <c r="A46" s="8" t="str">
        <f t="shared" ref="A46:A48" si="59">"20150730"</f>
        <v>20150730</v>
      </c>
      <c r="B46" s="8" t="str">
        <f t="shared" ref="B46:B48" si="60">"20150730"</f>
        <v>20150730</v>
      </c>
      <c r="C46" s="8" t="str">
        <f>"证券卖出"</f>
        <v>证券卖出</v>
      </c>
      <c r="D46" s="8" t="str">
        <f t="shared" si="57"/>
        <v>150295</v>
      </c>
      <c r="E46" s="8" t="str">
        <f t="shared" si="58"/>
        <v>改革A</v>
      </c>
      <c r="F46" s="8">
        <v>0.894</v>
      </c>
      <c r="G46" s="8">
        <v>30000</v>
      </c>
      <c r="H46" s="8">
        <v>26820</v>
      </c>
      <c r="I46" s="8">
        <v>26811.69</v>
      </c>
      <c r="J46" s="8">
        <v>112244.08</v>
      </c>
      <c r="K46" s="8">
        <v>0</v>
      </c>
      <c r="L46" s="8" t="str">
        <f t="shared" si="0"/>
        <v>人民币</v>
      </c>
      <c r="M46" s="8" t="str">
        <f>"T4007264"</f>
        <v>T4007264</v>
      </c>
      <c r="N46" s="8" t="str">
        <f t="shared" si="49"/>
        <v>0149593788</v>
      </c>
      <c r="O46" s="8" t="str">
        <f t="shared" si="1"/>
        <v>300100052893</v>
      </c>
    </row>
    <row r="47" spans="1:15">
      <c r="A47" s="8" t="str">
        <f t="shared" si="59"/>
        <v>20150730</v>
      </c>
      <c r="B47" s="8" t="str">
        <f t="shared" si="60"/>
        <v>20150730</v>
      </c>
      <c r="C47" s="8" t="str">
        <f t="shared" si="56"/>
        <v>证券买入</v>
      </c>
      <c r="D47" s="8" t="str">
        <f t="shared" si="57"/>
        <v>150295</v>
      </c>
      <c r="E47" s="8" t="str">
        <f t="shared" si="58"/>
        <v>改革A</v>
      </c>
      <c r="F47" s="8">
        <v>0.884</v>
      </c>
      <c r="G47" s="8">
        <v>30000</v>
      </c>
      <c r="H47" s="8">
        <v>26520</v>
      </c>
      <c r="I47" s="8">
        <v>-26528.22</v>
      </c>
      <c r="J47" s="8">
        <v>85715.86</v>
      </c>
      <c r="K47" s="8">
        <v>30000</v>
      </c>
      <c r="L47" s="8" t="str">
        <f t="shared" si="0"/>
        <v>人民币</v>
      </c>
      <c r="M47" s="8" t="str">
        <f>"T4009732"</f>
        <v>T4009732</v>
      </c>
      <c r="N47" s="8" t="str">
        <f t="shared" si="49"/>
        <v>0149593788</v>
      </c>
      <c r="O47" s="8" t="str">
        <f t="shared" si="1"/>
        <v>300100052893</v>
      </c>
    </row>
    <row r="48" spans="1:15">
      <c r="A48" s="8" t="str">
        <f t="shared" si="59"/>
        <v>20150730</v>
      </c>
      <c r="B48" s="8" t="str">
        <f t="shared" si="60"/>
        <v>20150730</v>
      </c>
      <c r="C48" s="8" t="str">
        <f t="shared" si="56"/>
        <v>证券买入</v>
      </c>
      <c r="D48" s="8" t="str">
        <f>"510300"</f>
        <v>510300</v>
      </c>
      <c r="E48" s="8" t="str">
        <f>"300ETF"</f>
        <v>300ETF</v>
      </c>
      <c r="F48" s="8">
        <v>3.94</v>
      </c>
      <c r="G48" s="8">
        <v>2000</v>
      </c>
      <c r="H48" s="8">
        <v>7880</v>
      </c>
      <c r="I48" s="8">
        <v>-7885</v>
      </c>
      <c r="J48" s="8">
        <v>77830.86</v>
      </c>
      <c r="K48" s="8">
        <v>2000</v>
      </c>
      <c r="L48" s="8" t="str">
        <f t="shared" si="0"/>
        <v>人民币</v>
      </c>
      <c r="M48" s="8" t="str">
        <f>"1361012178"</f>
        <v>1361012178</v>
      </c>
      <c r="N48" s="8" t="str">
        <f>"A368402599"</f>
        <v>A368402599</v>
      </c>
      <c r="O48" s="8" t="str">
        <f t="shared" si="1"/>
        <v>300100052893</v>
      </c>
    </row>
    <row r="49" spans="1:15">
      <c r="A49" s="8" t="str">
        <f>"20150731"</f>
        <v>20150731</v>
      </c>
      <c r="B49" s="8" t="str">
        <f>"20150731"</f>
        <v>20150731</v>
      </c>
      <c r="C49" s="8" t="str">
        <f t="shared" si="56"/>
        <v>证券买入</v>
      </c>
      <c r="D49" s="8" t="str">
        <f>"150295"</f>
        <v>150295</v>
      </c>
      <c r="E49" s="8" t="str">
        <f>"改革A"</f>
        <v>改革A</v>
      </c>
      <c r="F49" s="8">
        <v>0.9</v>
      </c>
      <c r="G49" s="8">
        <v>30000</v>
      </c>
      <c r="H49" s="8">
        <v>27000</v>
      </c>
      <c r="I49" s="8">
        <v>-27008.37</v>
      </c>
      <c r="J49" s="8">
        <v>50822.49</v>
      </c>
      <c r="K49" s="8">
        <v>60000</v>
      </c>
      <c r="L49" s="8" t="str">
        <f t="shared" si="0"/>
        <v>人民币</v>
      </c>
      <c r="M49" s="8" t="str">
        <f>"T4001536"</f>
        <v>T4001536</v>
      </c>
      <c r="N49" s="8" t="str">
        <f t="shared" ref="N49:N55" si="61">"0149593788"</f>
        <v>0149593788</v>
      </c>
      <c r="O49" s="8" t="str">
        <f t="shared" si="1"/>
        <v>300100052893</v>
      </c>
    </row>
    <row r="50" spans="1:15">
      <c r="A50" s="8" t="str">
        <f t="shared" ref="A50:A54" si="62">"20150803"</f>
        <v>20150803</v>
      </c>
      <c r="B50" s="8" t="str">
        <f t="shared" ref="B50:B54" si="63">"20150803"</f>
        <v>20150803</v>
      </c>
      <c r="C50" s="8" t="str">
        <f t="shared" si="56"/>
        <v>证券买入</v>
      </c>
      <c r="D50" s="8" t="str">
        <f>"510300"</f>
        <v>510300</v>
      </c>
      <c r="E50" s="8" t="str">
        <f>"300ETF"</f>
        <v>300ETF</v>
      </c>
      <c r="F50" s="8">
        <v>3.807</v>
      </c>
      <c r="G50" s="8">
        <v>2000</v>
      </c>
      <c r="H50" s="8">
        <v>7614</v>
      </c>
      <c r="I50" s="8">
        <v>-7619</v>
      </c>
      <c r="J50" s="8">
        <v>43203.49</v>
      </c>
      <c r="K50" s="8">
        <v>4000</v>
      </c>
      <c r="L50" s="8" t="str">
        <f t="shared" si="0"/>
        <v>人民币</v>
      </c>
      <c r="M50" s="8" t="str">
        <f>"1361001041"</f>
        <v>1361001041</v>
      </c>
      <c r="N50" s="8" t="str">
        <f>"A368402599"</f>
        <v>A368402599</v>
      </c>
      <c r="O50" s="8" t="str">
        <f t="shared" si="1"/>
        <v>300100052893</v>
      </c>
    </row>
    <row r="51" spans="1:15">
      <c r="A51" s="8" t="str">
        <f t="shared" si="62"/>
        <v>20150803</v>
      </c>
      <c r="B51" s="8" t="str">
        <f t="shared" si="63"/>
        <v>20150803</v>
      </c>
      <c r="C51" s="8" t="str">
        <f t="shared" si="56"/>
        <v>证券买入</v>
      </c>
      <c r="D51" s="8" t="str">
        <f>"150296"</f>
        <v>150296</v>
      </c>
      <c r="E51" s="8" t="str">
        <f>"改革B"</f>
        <v>改革B</v>
      </c>
      <c r="F51" s="8">
        <v>1.215</v>
      </c>
      <c r="G51" s="8">
        <v>30000</v>
      </c>
      <c r="H51" s="8">
        <v>36450.01</v>
      </c>
      <c r="I51" s="8">
        <v>-36461.31</v>
      </c>
      <c r="J51" s="8">
        <v>6742.18</v>
      </c>
      <c r="K51" s="8">
        <v>30000</v>
      </c>
      <c r="L51" s="8" t="str">
        <f t="shared" si="0"/>
        <v>人民币</v>
      </c>
      <c r="M51" s="8" t="str">
        <f>"T4005640"</f>
        <v>T4005640</v>
      </c>
      <c r="N51" s="8" t="str">
        <f t="shared" si="61"/>
        <v>0149593788</v>
      </c>
      <c r="O51" s="8" t="str">
        <f t="shared" si="1"/>
        <v>300100052893</v>
      </c>
    </row>
    <row r="52" spans="1:15">
      <c r="A52" s="8" t="str">
        <f t="shared" si="62"/>
        <v>20150803</v>
      </c>
      <c r="B52" s="8" t="str">
        <f t="shared" si="63"/>
        <v>20150803</v>
      </c>
      <c r="C52" s="8" t="str">
        <f>"开放基金合并增股"</f>
        <v>开放基金合并增股</v>
      </c>
      <c r="D52" s="8" t="str">
        <f>"160136"</f>
        <v>160136</v>
      </c>
      <c r="E52" s="8" t="str">
        <f>"改革基金"</f>
        <v>改革基金</v>
      </c>
      <c r="F52" s="8">
        <v>1.046</v>
      </c>
      <c r="G52" s="8">
        <v>60000</v>
      </c>
      <c r="H52" s="8">
        <v>0</v>
      </c>
      <c r="I52" s="8">
        <v>0</v>
      </c>
      <c r="J52" s="8">
        <v>6742.18</v>
      </c>
      <c r="K52" s="8">
        <v>60000</v>
      </c>
      <c r="L52" s="8" t="str">
        <f t="shared" si="0"/>
        <v>人民币</v>
      </c>
      <c r="M52" s="8" t="str">
        <f t="shared" ref="M52:M54" si="64">"T4005764"</f>
        <v>T4005764</v>
      </c>
      <c r="N52" s="8" t="str">
        <f t="shared" si="61"/>
        <v>0149593788</v>
      </c>
      <c r="O52" s="8" t="str">
        <f t="shared" si="1"/>
        <v>300100052893</v>
      </c>
    </row>
    <row r="53" spans="1:15">
      <c r="A53" s="8" t="str">
        <f t="shared" si="62"/>
        <v>20150803</v>
      </c>
      <c r="B53" s="8" t="str">
        <f t="shared" si="63"/>
        <v>20150803</v>
      </c>
      <c r="C53" s="8" t="str">
        <f>"开放基金合并减股"</f>
        <v>开放基金合并减股</v>
      </c>
      <c r="D53" s="8" t="str">
        <f>"150295"</f>
        <v>150295</v>
      </c>
      <c r="E53" s="8" t="str">
        <f>"改革A"</f>
        <v>改革A</v>
      </c>
      <c r="F53" s="8">
        <v>0.944</v>
      </c>
      <c r="G53" s="8">
        <v>30000</v>
      </c>
      <c r="H53" s="8">
        <v>0</v>
      </c>
      <c r="I53" s="8">
        <v>0</v>
      </c>
      <c r="J53" s="8">
        <v>6742.18</v>
      </c>
      <c r="K53" s="8">
        <v>30000</v>
      </c>
      <c r="L53" s="8" t="str">
        <f t="shared" si="0"/>
        <v>人民币</v>
      </c>
      <c r="M53" s="8" t="str">
        <f t="shared" si="64"/>
        <v>T4005764</v>
      </c>
      <c r="N53" s="8" t="str">
        <f t="shared" si="61"/>
        <v>0149593788</v>
      </c>
      <c r="O53" s="8" t="str">
        <f t="shared" si="1"/>
        <v>300100052893</v>
      </c>
    </row>
    <row r="54" spans="1:15">
      <c r="A54" s="8" t="str">
        <f t="shared" si="62"/>
        <v>20150803</v>
      </c>
      <c r="B54" s="8" t="str">
        <f t="shared" si="63"/>
        <v>20150803</v>
      </c>
      <c r="C54" s="8" t="str">
        <f>"开放基金合并减股"</f>
        <v>开放基金合并减股</v>
      </c>
      <c r="D54" s="8" t="str">
        <f>"150296"</f>
        <v>150296</v>
      </c>
      <c r="E54" s="8" t="str">
        <f>"改革B"</f>
        <v>改革B</v>
      </c>
      <c r="F54" s="8">
        <v>1.194</v>
      </c>
      <c r="G54" s="8">
        <v>30000</v>
      </c>
      <c r="H54" s="8">
        <v>0</v>
      </c>
      <c r="I54" s="8">
        <v>0</v>
      </c>
      <c r="J54" s="8">
        <v>6742.18</v>
      </c>
      <c r="K54" s="8">
        <v>0</v>
      </c>
      <c r="L54" s="8" t="str">
        <f t="shared" si="0"/>
        <v>人民币</v>
      </c>
      <c r="M54" s="8" t="str">
        <f t="shared" si="64"/>
        <v>T4005764</v>
      </c>
      <c r="N54" s="8" t="str">
        <f t="shared" si="61"/>
        <v>0149593788</v>
      </c>
      <c r="O54" s="8" t="str">
        <f t="shared" si="1"/>
        <v>300100052893</v>
      </c>
    </row>
    <row r="55" spans="1:15">
      <c r="A55" s="8" t="str">
        <f t="shared" ref="A55:A57" si="65">"20150804"</f>
        <v>20150804</v>
      </c>
      <c r="B55" s="8" t="str">
        <f t="shared" ref="B55:B57" si="66">"20150804"</f>
        <v>20150804</v>
      </c>
      <c r="C55" s="8" t="str">
        <f t="shared" ref="C55:C58" si="67">"证券卖出"</f>
        <v>证券卖出</v>
      </c>
      <c r="D55" s="8" t="str">
        <f>"150295"</f>
        <v>150295</v>
      </c>
      <c r="E55" s="8" t="str">
        <f>"改革A"</f>
        <v>改革A</v>
      </c>
      <c r="F55" s="8">
        <v>0.916</v>
      </c>
      <c r="G55" s="8">
        <v>30000</v>
      </c>
      <c r="H55" s="8">
        <v>27480</v>
      </c>
      <c r="I55" s="8">
        <v>27471.48</v>
      </c>
      <c r="J55" s="8">
        <v>34213.66</v>
      </c>
      <c r="K55" s="8">
        <v>0</v>
      </c>
      <c r="L55" s="8" t="str">
        <f t="shared" si="0"/>
        <v>人民币</v>
      </c>
      <c r="M55" s="8" t="str">
        <f>"T4001685"</f>
        <v>T4001685</v>
      </c>
      <c r="N55" s="8" t="str">
        <f t="shared" si="61"/>
        <v>0149593788</v>
      </c>
      <c r="O55" s="8" t="str">
        <f t="shared" si="1"/>
        <v>300100052893</v>
      </c>
    </row>
    <row r="56" spans="1:15">
      <c r="A56" s="8" t="str">
        <f t="shared" si="65"/>
        <v>20150804</v>
      </c>
      <c r="B56" s="8" t="str">
        <f t="shared" si="66"/>
        <v>20150804</v>
      </c>
      <c r="C56" s="8" t="str">
        <f t="shared" si="67"/>
        <v>证券卖出</v>
      </c>
      <c r="D56" s="8" t="str">
        <f t="shared" ref="D56:D61" si="68">"510300"</f>
        <v>510300</v>
      </c>
      <c r="E56" s="8" t="str">
        <f t="shared" ref="E56:E61" si="69">"300ETF"</f>
        <v>300ETF</v>
      </c>
      <c r="F56" s="8">
        <v>3.925</v>
      </c>
      <c r="G56" s="8">
        <v>2000</v>
      </c>
      <c r="H56" s="8">
        <v>7850</v>
      </c>
      <c r="I56" s="8">
        <v>7845</v>
      </c>
      <c r="J56" s="8">
        <v>42058.66</v>
      </c>
      <c r="K56" s="8">
        <v>2000</v>
      </c>
      <c r="L56" s="8" t="str">
        <f t="shared" si="0"/>
        <v>人民币</v>
      </c>
      <c r="M56" s="8" t="str">
        <f>"1361008083"</f>
        <v>1361008083</v>
      </c>
      <c r="N56" s="8" t="str">
        <f t="shared" ref="N56:N61" si="70">"A368402599"</f>
        <v>A368402599</v>
      </c>
      <c r="O56" s="8" t="str">
        <f t="shared" si="1"/>
        <v>300100052893</v>
      </c>
    </row>
    <row r="57" spans="1:15">
      <c r="A57" s="8" t="str">
        <f t="shared" si="65"/>
        <v>20150804</v>
      </c>
      <c r="B57" s="8" t="str">
        <f t="shared" si="66"/>
        <v>20150804</v>
      </c>
      <c r="C57" s="8" t="str">
        <f t="shared" si="67"/>
        <v>证券卖出</v>
      </c>
      <c r="D57" s="8" t="str">
        <f t="shared" si="68"/>
        <v>510300</v>
      </c>
      <c r="E57" s="8" t="str">
        <f t="shared" si="69"/>
        <v>300ETF</v>
      </c>
      <c r="F57" s="8">
        <v>3.985</v>
      </c>
      <c r="G57" s="8">
        <v>2000</v>
      </c>
      <c r="H57" s="8">
        <v>7970</v>
      </c>
      <c r="I57" s="8">
        <v>7965</v>
      </c>
      <c r="J57" s="8">
        <v>50023.66</v>
      </c>
      <c r="K57" s="8">
        <v>0</v>
      </c>
      <c r="L57" s="8" t="str">
        <f t="shared" si="0"/>
        <v>人民币</v>
      </c>
      <c r="M57" s="8" t="str">
        <f>"1361010335"</f>
        <v>1361010335</v>
      </c>
      <c r="N57" s="8" t="str">
        <f t="shared" si="70"/>
        <v>A368402599</v>
      </c>
      <c r="O57" s="8" t="str">
        <f t="shared" si="1"/>
        <v>300100052893</v>
      </c>
    </row>
    <row r="58" spans="1:15">
      <c r="A58" s="8" t="str">
        <f t="shared" ref="A58:A61" si="71">"20150805"</f>
        <v>20150805</v>
      </c>
      <c r="B58" s="8" t="str">
        <f t="shared" ref="B58:B61" si="72">"20150805"</f>
        <v>20150805</v>
      </c>
      <c r="C58" s="8" t="str">
        <f t="shared" si="67"/>
        <v>证券卖出</v>
      </c>
      <c r="D58" s="8" t="str">
        <f>"600219"</f>
        <v>600219</v>
      </c>
      <c r="E58" s="8" t="str">
        <f>"南山铝业"</f>
        <v>南山铝业</v>
      </c>
      <c r="F58" s="8">
        <v>7.9</v>
      </c>
      <c r="G58" s="8">
        <v>1000</v>
      </c>
      <c r="H58" s="8">
        <v>7900</v>
      </c>
      <c r="I58" s="8">
        <v>7886.94</v>
      </c>
      <c r="J58" s="8">
        <v>57910.6</v>
      </c>
      <c r="K58" s="8">
        <v>6000</v>
      </c>
      <c r="L58" s="8" t="str">
        <f t="shared" si="0"/>
        <v>人民币</v>
      </c>
      <c r="M58" s="8" t="str">
        <f>"1361005174"</f>
        <v>1361005174</v>
      </c>
      <c r="N58" s="8" t="str">
        <f t="shared" si="70"/>
        <v>A368402599</v>
      </c>
      <c r="O58" s="8" t="str">
        <f t="shared" si="1"/>
        <v>300100052893</v>
      </c>
    </row>
    <row r="59" spans="1:15">
      <c r="A59" s="8" t="str">
        <f t="shared" si="71"/>
        <v>20150805</v>
      </c>
      <c r="B59" s="8" t="str">
        <f t="shared" si="72"/>
        <v>20150805</v>
      </c>
      <c r="C59" s="8" t="str">
        <f t="shared" ref="C59:C61" si="73">"证券买入"</f>
        <v>证券买入</v>
      </c>
      <c r="D59" s="8" t="str">
        <f t="shared" si="68"/>
        <v>510300</v>
      </c>
      <c r="E59" s="8" t="str">
        <f t="shared" si="69"/>
        <v>300ETF</v>
      </c>
      <c r="F59" s="8">
        <v>3.92</v>
      </c>
      <c r="G59" s="8">
        <v>500</v>
      </c>
      <c r="H59" s="8">
        <v>1960</v>
      </c>
      <c r="I59" s="8">
        <v>-1965</v>
      </c>
      <c r="J59" s="8">
        <v>55945.6</v>
      </c>
      <c r="K59" s="8">
        <v>500</v>
      </c>
      <c r="L59" s="8" t="str">
        <f t="shared" si="0"/>
        <v>人民币</v>
      </c>
      <c r="M59" s="8" t="str">
        <f>"1361009656"</f>
        <v>1361009656</v>
      </c>
      <c r="N59" s="8" t="str">
        <f t="shared" si="70"/>
        <v>A368402599</v>
      </c>
      <c r="O59" s="8" t="str">
        <f t="shared" si="1"/>
        <v>300100052893</v>
      </c>
    </row>
    <row r="60" spans="1:15">
      <c r="A60" s="8" t="str">
        <f t="shared" si="71"/>
        <v>20150805</v>
      </c>
      <c r="B60" s="8" t="str">
        <f t="shared" si="72"/>
        <v>20150805</v>
      </c>
      <c r="C60" s="8" t="str">
        <f t="shared" si="73"/>
        <v>证券买入</v>
      </c>
      <c r="D60" s="8" t="str">
        <f t="shared" si="68"/>
        <v>510300</v>
      </c>
      <c r="E60" s="8" t="str">
        <f t="shared" si="69"/>
        <v>300ETF</v>
      </c>
      <c r="F60" s="8">
        <v>3.918</v>
      </c>
      <c r="G60" s="8">
        <v>1500</v>
      </c>
      <c r="H60" s="8">
        <v>5877</v>
      </c>
      <c r="I60" s="8">
        <v>-5882</v>
      </c>
      <c r="J60" s="8">
        <v>50063.6</v>
      </c>
      <c r="K60" s="8">
        <v>2000</v>
      </c>
      <c r="L60" s="8" t="str">
        <f t="shared" si="0"/>
        <v>人民币</v>
      </c>
      <c r="M60" s="8" t="str">
        <f>"1361009703"</f>
        <v>1361009703</v>
      </c>
      <c r="N60" s="8" t="str">
        <f t="shared" si="70"/>
        <v>A368402599</v>
      </c>
      <c r="O60" s="8" t="str">
        <f t="shared" si="1"/>
        <v>300100052893</v>
      </c>
    </row>
    <row r="61" spans="1:15">
      <c r="A61" s="8" t="str">
        <f t="shared" si="71"/>
        <v>20150805</v>
      </c>
      <c r="B61" s="8" t="str">
        <f t="shared" si="72"/>
        <v>20150805</v>
      </c>
      <c r="C61" s="8" t="str">
        <f t="shared" si="73"/>
        <v>证券买入</v>
      </c>
      <c r="D61" s="8" t="str">
        <f t="shared" si="68"/>
        <v>510300</v>
      </c>
      <c r="E61" s="8" t="str">
        <f t="shared" si="69"/>
        <v>300ETF</v>
      </c>
      <c r="F61" s="8">
        <v>3.962</v>
      </c>
      <c r="G61" s="8">
        <v>2000</v>
      </c>
      <c r="H61" s="8">
        <v>7924</v>
      </c>
      <c r="I61" s="8">
        <v>-7929</v>
      </c>
      <c r="J61" s="8">
        <v>42134.6</v>
      </c>
      <c r="K61" s="8">
        <v>4000</v>
      </c>
      <c r="L61" s="8" t="str">
        <f t="shared" si="0"/>
        <v>人民币</v>
      </c>
      <c r="M61" s="8" t="str">
        <f>"1361011941"</f>
        <v>1361011941</v>
      </c>
      <c r="N61" s="8" t="str">
        <f t="shared" si="70"/>
        <v>A368402599</v>
      </c>
      <c r="O61" s="8" t="str">
        <f t="shared" si="1"/>
        <v>300100052893</v>
      </c>
    </row>
    <row r="62" spans="1:15">
      <c r="A62" s="8" t="str">
        <f t="shared" ref="A62:A69" si="74">"20150806"</f>
        <v>20150806</v>
      </c>
      <c r="B62" s="8" t="str">
        <f>"20150804"</f>
        <v>20150804</v>
      </c>
      <c r="C62" s="8" t="str">
        <f>"开放基金赎回"</f>
        <v>开放基金赎回</v>
      </c>
      <c r="D62" s="8" t="str">
        <f>"160136"</f>
        <v>160136</v>
      </c>
      <c r="E62" s="8" t="str">
        <f>"改革基金"</f>
        <v>改革基金</v>
      </c>
      <c r="F62" s="8">
        <v>1.146</v>
      </c>
      <c r="G62" s="8">
        <v>60000</v>
      </c>
      <c r="H62" s="8">
        <v>68772</v>
      </c>
      <c r="I62" s="8">
        <v>68428.14</v>
      </c>
      <c r="J62" s="8">
        <v>110562.74</v>
      </c>
      <c r="K62" s="8">
        <v>0</v>
      </c>
      <c r="L62" s="8" t="str">
        <f t="shared" si="0"/>
        <v>人民币</v>
      </c>
      <c r="M62" s="8" t="str">
        <f>"T4000121"</f>
        <v>T4000121</v>
      </c>
      <c r="N62" s="8" t="str">
        <f>"0149593788"</f>
        <v>0149593788</v>
      </c>
      <c r="O62" s="8" t="str">
        <f t="shared" si="1"/>
        <v>300100052893</v>
      </c>
    </row>
    <row r="63" spans="1:15">
      <c r="A63" s="8" t="str">
        <f t="shared" si="74"/>
        <v>20150806</v>
      </c>
      <c r="B63" s="8" t="str">
        <f t="shared" ref="B63:B69" si="75">"20150806"</f>
        <v>20150806</v>
      </c>
      <c r="C63" s="8" t="str">
        <f t="shared" ref="C63:C65" si="76">"证券买入"</f>
        <v>证券买入</v>
      </c>
      <c r="D63" s="8" t="str">
        <f t="shared" ref="D63:D66" si="77">"510300"</f>
        <v>510300</v>
      </c>
      <c r="E63" s="8" t="str">
        <f t="shared" ref="E63:E66" si="78">"300ETF"</f>
        <v>300ETF</v>
      </c>
      <c r="F63" s="8">
        <v>3.862</v>
      </c>
      <c r="G63" s="8">
        <v>2000</v>
      </c>
      <c r="H63" s="8">
        <v>7724</v>
      </c>
      <c r="I63" s="8">
        <v>-7729</v>
      </c>
      <c r="J63" s="8">
        <v>102833.74</v>
      </c>
      <c r="K63" s="8">
        <v>6000</v>
      </c>
      <c r="L63" s="8" t="str">
        <f t="shared" si="0"/>
        <v>人民币</v>
      </c>
      <c r="M63" s="8" t="str">
        <f>"1361001485"</f>
        <v>1361001485</v>
      </c>
      <c r="N63" s="8" t="str">
        <f t="shared" ref="N63:N83" si="79">"A368402599"</f>
        <v>A368402599</v>
      </c>
      <c r="O63" s="8" t="str">
        <f t="shared" si="1"/>
        <v>300100052893</v>
      </c>
    </row>
    <row r="64" spans="1:15">
      <c r="A64" s="8" t="str">
        <f t="shared" si="74"/>
        <v>20150806</v>
      </c>
      <c r="B64" s="8" t="str">
        <f t="shared" si="75"/>
        <v>20150806</v>
      </c>
      <c r="C64" s="8" t="str">
        <f t="shared" si="76"/>
        <v>证券买入</v>
      </c>
      <c r="D64" s="8" t="str">
        <f>"600219"</f>
        <v>600219</v>
      </c>
      <c r="E64" s="8" t="str">
        <f>"南山铝业"</f>
        <v>南山铝业</v>
      </c>
      <c r="F64" s="8">
        <v>7.73</v>
      </c>
      <c r="G64" s="8">
        <v>1000</v>
      </c>
      <c r="H64" s="8">
        <v>7730</v>
      </c>
      <c r="I64" s="8">
        <v>-7735.15</v>
      </c>
      <c r="J64" s="8">
        <v>95098.59</v>
      </c>
      <c r="K64" s="8">
        <v>7000</v>
      </c>
      <c r="L64" s="8" t="str">
        <f t="shared" si="0"/>
        <v>人民币</v>
      </c>
      <c r="M64" s="8" t="str">
        <f>"1361003259"</f>
        <v>1361003259</v>
      </c>
      <c r="N64" s="8" t="str">
        <f t="shared" si="79"/>
        <v>A368402599</v>
      </c>
      <c r="O64" s="8" t="str">
        <f t="shared" si="1"/>
        <v>300100052893</v>
      </c>
    </row>
    <row r="65" spans="1:15">
      <c r="A65" s="8" t="str">
        <f t="shared" si="74"/>
        <v>20150806</v>
      </c>
      <c r="B65" s="8" t="str">
        <f t="shared" si="75"/>
        <v>20150806</v>
      </c>
      <c r="C65" s="8" t="str">
        <f t="shared" si="76"/>
        <v>证券买入</v>
      </c>
      <c r="D65" s="8" t="str">
        <f t="shared" si="77"/>
        <v>510300</v>
      </c>
      <c r="E65" s="8" t="str">
        <f t="shared" si="78"/>
        <v>300ETF</v>
      </c>
      <c r="F65" s="8">
        <v>3.895</v>
      </c>
      <c r="G65" s="8">
        <v>2000</v>
      </c>
      <c r="H65" s="8">
        <v>7790</v>
      </c>
      <c r="I65" s="8">
        <v>-7795</v>
      </c>
      <c r="J65" s="8">
        <v>87303.59</v>
      </c>
      <c r="K65" s="8">
        <v>8000</v>
      </c>
      <c r="L65" s="8" t="str">
        <f t="shared" si="0"/>
        <v>人民币</v>
      </c>
      <c r="M65" s="8" t="str">
        <f>"1361005610"</f>
        <v>1361005610</v>
      </c>
      <c r="N65" s="8" t="str">
        <f t="shared" si="79"/>
        <v>A368402599</v>
      </c>
      <c r="O65" s="8" t="str">
        <f t="shared" si="1"/>
        <v>300100052893</v>
      </c>
    </row>
    <row r="66" spans="1:15">
      <c r="A66" s="8" t="str">
        <f t="shared" si="74"/>
        <v>20150806</v>
      </c>
      <c r="B66" s="8" t="str">
        <f t="shared" si="75"/>
        <v>20150806</v>
      </c>
      <c r="C66" s="8" t="str">
        <f t="shared" ref="C66:C70" si="80">"证券卖出"</f>
        <v>证券卖出</v>
      </c>
      <c r="D66" s="8" t="str">
        <f t="shared" si="77"/>
        <v>510300</v>
      </c>
      <c r="E66" s="8" t="str">
        <f t="shared" si="78"/>
        <v>300ETF</v>
      </c>
      <c r="F66" s="8">
        <v>3.888</v>
      </c>
      <c r="G66" s="8">
        <v>4000</v>
      </c>
      <c r="H66" s="8">
        <v>15552</v>
      </c>
      <c r="I66" s="8">
        <v>15547</v>
      </c>
      <c r="J66" s="8">
        <v>102850.59</v>
      </c>
      <c r="K66" s="8">
        <v>4000</v>
      </c>
      <c r="L66" s="8" t="str">
        <f t="shared" ref="L66:L113" si="81">"人民币"</f>
        <v>人民币</v>
      </c>
      <c r="M66" s="8" t="str">
        <f>"1361007883"</f>
        <v>1361007883</v>
      </c>
      <c r="N66" s="8" t="str">
        <f t="shared" si="79"/>
        <v>A368402599</v>
      </c>
      <c r="O66" s="8" t="str">
        <f t="shared" ref="O66:O113" si="82">"300100052893"</f>
        <v>300100052893</v>
      </c>
    </row>
    <row r="67" spans="1:15">
      <c r="A67" s="8" t="str">
        <f t="shared" si="74"/>
        <v>20150806</v>
      </c>
      <c r="B67" s="8" t="str">
        <f t="shared" si="75"/>
        <v>20150806</v>
      </c>
      <c r="C67" s="8" t="str">
        <f t="shared" si="80"/>
        <v>证券卖出</v>
      </c>
      <c r="D67" s="8" t="str">
        <f>"600219"</f>
        <v>600219</v>
      </c>
      <c r="E67" s="8" t="str">
        <f>"南山铝业"</f>
        <v>南山铝业</v>
      </c>
      <c r="F67" s="8">
        <v>7.75</v>
      </c>
      <c r="G67" s="8">
        <v>2000</v>
      </c>
      <c r="H67" s="8">
        <v>15500</v>
      </c>
      <c r="I67" s="8">
        <v>15479.18</v>
      </c>
      <c r="J67" s="8">
        <v>118329.77</v>
      </c>
      <c r="K67" s="8">
        <v>5000</v>
      </c>
      <c r="L67" s="8" t="str">
        <f t="shared" si="81"/>
        <v>人民币</v>
      </c>
      <c r="M67" s="8" t="str">
        <f>"1361007936"</f>
        <v>1361007936</v>
      </c>
      <c r="N67" s="8" t="str">
        <f t="shared" si="79"/>
        <v>A368402599</v>
      </c>
      <c r="O67" s="8" t="str">
        <f t="shared" si="82"/>
        <v>300100052893</v>
      </c>
    </row>
    <row r="68" spans="1:15">
      <c r="A68" s="8" t="str">
        <f t="shared" si="74"/>
        <v>20150806</v>
      </c>
      <c r="B68" s="8" t="str">
        <f t="shared" si="75"/>
        <v>20150806</v>
      </c>
      <c r="C68" s="8" t="str">
        <f t="shared" ref="C68:C71" si="83">"证券买入"</f>
        <v>证券买入</v>
      </c>
      <c r="D68" s="8" t="str">
        <f t="shared" ref="D68:D72" si="84">"510300"</f>
        <v>510300</v>
      </c>
      <c r="E68" s="8" t="str">
        <f t="shared" ref="E68:E72" si="85">"300ETF"</f>
        <v>300ETF</v>
      </c>
      <c r="F68" s="8">
        <v>3.864</v>
      </c>
      <c r="G68" s="8">
        <v>4000</v>
      </c>
      <c r="H68" s="8">
        <v>15456</v>
      </c>
      <c r="I68" s="8">
        <v>-15461</v>
      </c>
      <c r="J68" s="8">
        <v>102868.77</v>
      </c>
      <c r="K68" s="8">
        <v>8000</v>
      </c>
      <c r="L68" s="8" t="str">
        <f t="shared" si="81"/>
        <v>人民币</v>
      </c>
      <c r="M68" s="8" t="str">
        <f>"1361008718"</f>
        <v>1361008718</v>
      </c>
      <c r="N68" s="8" t="str">
        <f t="shared" si="79"/>
        <v>A368402599</v>
      </c>
      <c r="O68" s="8" t="str">
        <f t="shared" si="82"/>
        <v>300100052893</v>
      </c>
    </row>
    <row r="69" spans="1:15">
      <c r="A69" s="8" t="str">
        <f t="shared" si="74"/>
        <v>20150806</v>
      </c>
      <c r="B69" s="8" t="str">
        <f t="shared" si="75"/>
        <v>20150806</v>
      </c>
      <c r="C69" s="8" t="str">
        <f t="shared" si="83"/>
        <v>证券买入</v>
      </c>
      <c r="D69" s="8" t="str">
        <f t="shared" ref="D69:D74" si="86">"600789"</f>
        <v>600789</v>
      </c>
      <c r="E69" s="8" t="str">
        <f t="shared" ref="E69:E74" si="87">"鲁抗医药"</f>
        <v>鲁抗医药</v>
      </c>
      <c r="F69" s="8">
        <v>13</v>
      </c>
      <c r="G69" s="8">
        <v>1000</v>
      </c>
      <c r="H69" s="8">
        <v>13000</v>
      </c>
      <c r="I69" s="8">
        <v>-13005.26</v>
      </c>
      <c r="J69" s="8">
        <v>89863.51</v>
      </c>
      <c r="K69" s="8">
        <v>1000</v>
      </c>
      <c r="L69" s="8" t="str">
        <f t="shared" si="81"/>
        <v>人民币</v>
      </c>
      <c r="M69" s="8" t="str">
        <f>"1361009935"</f>
        <v>1361009935</v>
      </c>
      <c r="N69" s="8" t="str">
        <f t="shared" si="79"/>
        <v>A368402599</v>
      </c>
      <c r="O69" s="8" t="str">
        <f t="shared" si="82"/>
        <v>300100052893</v>
      </c>
    </row>
    <row r="70" spans="1:15">
      <c r="A70" s="8" t="str">
        <f t="shared" ref="A70:A75" si="88">"20150807"</f>
        <v>20150807</v>
      </c>
      <c r="B70" s="8" t="str">
        <f t="shared" ref="B70:B75" si="89">"20150807"</f>
        <v>20150807</v>
      </c>
      <c r="C70" s="8" t="str">
        <f t="shared" si="80"/>
        <v>证券卖出</v>
      </c>
      <c r="D70" s="8" t="str">
        <f t="shared" si="84"/>
        <v>510300</v>
      </c>
      <c r="E70" s="8" t="str">
        <f t="shared" si="85"/>
        <v>300ETF</v>
      </c>
      <c r="F70" s="8">
        <v>3.912</v>
      </c>
      <c r="G70" s="8">
        <v>4000</v>
      </c>
      <c r="H70" s="8">
        <v>15648</v>
      </c>
      <c r="I70" s="8">
        <v>15643</v>
      </c>
      <c r="J70" s="8">
        <v>105506.51</v>
      </c>
      <c r="K70" s="8">
        <v>4000</v>
      </c>
      <c r="L70" s="8" t="str">
        <f t="shared" si="81"/>
        <v>人民币</v>
      </c>
      <c r="M70" s="8" t="str">
        <f>"1361001948"</f>
        <v>1361001948</v>
      </c>
      <c r="N70" s="8" t="str">
        <f t="shared" si="79"/>
        <v>A368402599</v>
      </c>
      <c r="O70" s="8" t="str">
        <f t="shared" si="82"/>
        <v>300100052893</v>
      </c>
    </row>
    <row r="71" spans="1:15">
      <c r="A71" s="8" t="str">
        <f t="shared" si="88"/>
        <v>20150807</v>
      </c>
      <c r="B71" s="8" t="str">
        <f t="shared" si="89"/>
        <v>20150807</v>
      </c>
      <c r="C71" s="8" t="str">
        <f t="shared" si="83"/>
        <v>证券买入</v>
      </c>
      <c r="D71" s="8" t="str">
        <f t="shared" si="86"/>
        <v>600789</v>
      </c>
      <c r="E71" s="8" t="str">
        <f t="shared" si="87"/>
        <v>鲁抗医药</v>
      </c>
      <c r="F71" s="8">
        <v>12.85</v>
      </c>
      <c r="G71" s="8">
        <v>1000</v>
      </c>
      <c r="H71" s="8">
        <v>12850</v>
      </c>
      <c r="I71" s="8">
        <v>-12855.26</v>
      </c>
      <c r="J71" s="8">
        <v>92651.25</v>
      </c>
      <c r="K71" s="8">
        <v>2000</v>
      </c>
      <c r="L71" s="8" t="str">
        <f t="shared" si="81"/>
        <v>人民币</v>
      </c>
      <c r="M71" s="8" t="str">
        <f>"1361002642"</f>
        <v>1361002642</v>
      </c>
      <c r="N71" s="8" t="str">
        <f t="shared" si="79"/>
        <v>A368402599</v>
      </c>
      <c r="O71" s="8" t="str">
        <f t="shared" si="82"/>
        <v>300100052893</v>
      </c>
    </row>
    <row r="72" spans="1:15">
      <c r="A72" s="8" t="str">
        <f t="shared" si="88"/>
        <v>20150807</v>
      </c>
      <c r="B72" s="8" t="str">
        <f t="shared" si="89"/>
        <v>20150807</v>
      </c>
      <c r="C72" s="8" t="str">
        <f t="shared" ref="C72:C78" si="90">"证券卖出"</f>
        <v>证券卖出</v>
      </c>
      <c r="D72" s="8" t="str">
        <f t="shared" si="84"/>
        <v>510300</v>
      </c>
      <c r="E72" s="8" t="str">
        <f t="shared" si="85"/>
        <v>300ETF</v>
      </c>
      <c r="F72" s="8">
        <v>3.939</v>
      </c>
      <c r="G72" s="8">
        <v>4000</v>
      </c>
      <c r="H72" s="8">
        <v>15756</v>
      </c>
      <c r="I72" s="8">
        <v>15751</v>
      </c>
      <c r="J72" s="8">
        <v>108402.25</v>
      </c>
      <c r="K72" s="8">
        <v>0</v>
      </c>
      <c r="L72" s="8" t="str">
        <f t="shared" si="81"/>
        <v>人民币</v>
      </c>
      <c r="M72" s="8" t="str">
        <f>"1361003313"</f>
        <v>1361003313</v>
      </c>
      <c r="N72" s="8" t="str">
        <f t="shared" si="79"/>
        <v>A368402599</v>
      </c>
      <c r="O72" s="8" t="str">
        <f t="shared" si="82"/>
        <v>300100052893</v>
      </c>
    </row>
    <row r="73" spans="1:15">
      <c r="A73" s="8" t="str">
        <f t="shared" si="88"/>
        <v>20150807</v>
      </c>
      <c r="B73" s="8" t="str">
        <f t="shared" si="89"/>
        <v>20150807</v>
      </c>
      <c r="C73" s="8" t="str">
        <f t="shared" si="90"/>
        <v>证券卖出</v>
      </c>
      <c r="D73" s="8" t="str">
        <f t="shared" si="86"/>
        <v>600789</v>
      </c>
      <c r="E73" s="8" t="str">
        <f t="shared" si="87"/>
        <v>鲁抗医药</v>
      </c>
      <c r="F73" s="8">
        <v>12.9</v>
      </c>
      <c r="G73" s="8">
        <v>1000</v>
      </c>
      <c r="H73" s="8">
        <v>12900</v>
      </c>
      <c r="I73" s="8">
        <v>12881.85</v>
      </c>
      <c r="J73" s="8">
        <v>121284.1</v>
      </c>
      <c r="K73" s="8">
        <v>1000</v>
      </c>
      <c r="L73" s="8" t="str">
        <f t="shared" si="81"/>
        <v>人民币</v>
      </c>
      <c r="M73" s="8" t="str">
        <f>"1361003422"</f>
        <v>1361003422</v>
      </c>
      <c r="N73" s="8" t="str">
        <f t="shared" si="79"/>
        <v>A368402599</v>
      </c>
      <c r="O73" s="8" t="str">
        <f t="shared" si="82"/>
        <v>300100052893</v>
      </c>
    </row>
    <row r="74" spans="1:15">
      <c r="A74" s="8" t="str">
        <f t="shared" si="88"/>
        <v>20150807</v>
      </c>
      <c r="B74" s="8" t="str">
        <f t="shared" si="89"/>
        <v>20150807</v>
      </c>
      <c r="C74" s="8" t="str">
        <f t="shared" ref="C74:C79" si="91">"证券买入"</f>
        <v>证券买入</v>
      </c>
      <c r="D74" s="8" t="str">
        <f t="shared" si="86"/>
        <v>600789</v>
      </c>
      <c r="E74" s="8" t="str">
        <f t="shared" si="87"/>
        <v>鲁抗医药</v>
      </c>
      <c r="F74" s="8">
        <v>12.95</v>
      </c>
      <c r="G74" s="8">
        <v>2000</v>
      </c>
      <c r="H74" s="8">
        <v>25900</v>
      </c>
      <c r="I74" s="8">
        <v>-25908.55</v>
      </c>
      <c r="J74" s="8">
        <v>95375.55</v>
      </c>
      <c r="K74" s="8">
        <v>3000</v>
      </c>
      <c r="L74" s="8" t="str">
        <f t="shared" si="81"/>
        <v>人民币</v>
      </c>
      <c r="M74" s="8" t="str">
        <f>"1361003684"</f>
        <v>1361003684</v>
      </c>
      <c r="N74" s="8" t="str">
        <f t="shared" si="79"/>
        <v>A368402599</v>
      </c>
      <c r="O74" s="8" t="str">
        <f t="shared" si="82"/>
        <v>300100052893</v>
      </c>
    </row>
    <row r="75" spans="1:15">
      <c r="A75" s="8" t="str">
        <f t="shared" si="88"/>
        <v>20150807</v>
      </c>
      <c r="B75" s="8" t="str">
        <f t="shared" si="89"/>
        <v>20150807</v>
      </c>
      <c r="C75" s="8" t="str">
        <f t="shared" si="91"/>
        <v>证券买入</v>
      </c>
      <c r="D75" s="8" t="str">
        <f t="shared" ref="D75:D78" si="92">"510300"</f>
        <v>510300</v>
      </c>
      <c r="E75" s="8" t="str">
        <f t="shared" ref="E75:E78" si="93">"300ETF"</f>
        <v>300ETF</v>
      </c>
      <c r="F75" s="8">
        <v>3.932</v>
      </c>
      <c r="G75" s="8">
        <v>4000</v>
      </c>
      <c r="H75" s="8">
        <v>15728</v>
      </c>
      <c r="I75" s="8">
        <v>-15733</v>
      </c>
      <c r="J75" s="8">
        <v>79642.55</v>
      </c>
      <c r="K75" s="8">
        <v>4000</v>
      </c>
      <c r="L75" s="8" t="str">
        <f t="shared" si="81"/>
        <v>人民币</v>
      </c>
      <c r="M75" s="8" t="str">
        <f>"1361010730"</f>
        <v>1361010730</v>
      </c>
      <c r="N75" s="8" t="str">
        <f t="shared" si="79"/>
        <v>A368402599</v>
      </c>
      <c r="O75" s="8" t="str">
        <f t="shared" si="82"/>
        <v>300100052893</v>
      </c>
    </row>
    <row r="76" spans="1:15">
      <c r="A76" s="8" t="str">
        <f t="shared" ref="A76:A79" si="94">"20150810"</f>
        <v>20150810</v>
      </c>
      <c r="B76" s="8" t="str">
        <f t="shared" ref="B76:B79" si="95">"20150810"</f>
        <v>20150810</v>
      </c>
      <c r="C76" s="8" t="str">
        <f t="shared" si="90"/>
        <v>证券卖出</v>
      </c>
      <c r="D76" s="8" t="str">
        <f>"600789"</f>
        <v>600789</v>
      </c>
      <c r="E76" s="8" t="str">
        <f>"鲁抗医药"</f>
        <v>鲁抗医药</v>
      </c>
      <c r="F76" s="8">
        <v>13.49</v>
      </c>
      <c r="G76" s="8">
        <v>2000</v>
      </c>
      <c r="H76" s="8">
        <v>26980</v>
      </c>
      <c r="I76" s="8">
        <v>26944.12</v>
      </c>
      <c r="J76" s="8">
        <v>106586.67</v>
      </c>
      <c r="K76" s="8">
        <v>1000</v>
      </c>
      <c r="L76" s="8" t="str">
        <f t="shared" si="81"/>
        <v>人民币</v>
      </c>
      <c r="M76" s="8" t="str">
        <f>"1361002443"</f>
        <v>1361002443</v>
      </c>
      <c r="N76" s="8" t="str">
        <f t="shared" si="79"/>
        <v>A368402599</v>
      </c>
      <c r="O76" s="8" t="str">
        <f t="shared" si="82"/>
        <v>300100052893</v>
      </c>
    </row>
    <row r="77" spans="1:15">
      <c r="A77" s="8" t="str">
        <f t="shared" si="94"/>
        <v>20150810</v>
      </c>
      <c r="B77" s="8" t="str">
        <f t="shared" si="95"/>
        <v>20150810</v>
      </c>
      <c r="C77" s="8" t="str">
        <f t="shared" si="90"/>
        <v>证券卖出</v>
      </c>
      <c r="D77" s="8" t="str">
        <f t="shared" si="92"/>
        <v>510300</v>
      </c>
      <c r="E77" s="8" t="str">
        <f t="shared" si="93"/>
        <v>300ETF</v>
      </c>
      <c r="F77" s="8">
        <v>3.988</v>
      </c>
      <c r="G77" s="8">
        <v>2000</v>
      </c>
      <c r="H77" s="8">
        <v>7976</v>
      </c>
      <c r="I77" s="8">
        <v>7971</v>
      </c>
      <c r="J77" s="8">
        <v>114557.67</v>
      </c>
      <c r="K77" s="8">
        <v>2000</v>
      </c>
      <c r="L77" s="8" t="str">
        <f t="shared" si="81"/>
        <v>人民币</v>
      </c>
      <c r="M77" s="8" t="str">
        <f>"1361004651"</f>
        <v>1361004651</v>
      </c>
      <c r="N77" s="8" t="str">
        <f t="shared" si="79"/>
        <v>A368402599</v>
      </c>
      <c r="O77" s="8" t="str">
        <f t="shared" si="82"/>
        <v>300100052893</v>
      </c>
    </row>
    <row r="78" spans="1:15">
      <c r="A78" s="8" t="str">
        <f t="shared" si="94"/>
        <v>20150810</v>
      </c>
      <c r="B78" s="8" t="str">
        <f t="shared" si="95"/>
        <v>20150810</v>
      </c>
      <c r="C78" s="8" t="str">
        <f t="shared" si="90"/>
        <v>证券卖出</v>
      </c>
      <c r="D78" s="8" t="str">
        <f t="shared" si="92"/>
        <v>510300</v>
      </c>
      <c r="E78" s="8" t="str">
        <f t="shared" si="93"/>
        <v>300ETF</v>
      </c>
      <c r="F78" s="8">
        <v>4.007</v>
      </c>
      <c r="G78" s="8">
        <v>2000</v>
      </c>
      <c r="H78" s="8">
        <v>8014</v>
      </c>
      <c r="I78" s="8">
        <v>8009</v>
      </c>
      <c r="J78" s="8">
        <v>122566.67</v>
      </c>
      <c r="K78" s="8">
        <v>0</v>
      </c>
      <c r="L78" s="8" t="str">
        <f t="shared" si="81"/>
        <v>人民币</v>
      </c>
      <c r="M78" s="8" t="str">
        <f>"1361005087"</f>
        <v>1361005087</v>
      </c>
      <c r="N78" s="8" t="str">
        <f t="shared" si="79"/>
        <v>A368402599</v>
      </c>
      <c r="O78" s="8" t="str">
        <f t="shared" si="82"/>
        <v>300100052893</v>
      </c>
    </row>
    <row r="79" spans="1:15">
      <c r="A79" s="8" t="str">
        <f t="shared" si="94"/>
        <v>20150810</v>
      </c>
      <c r="B79" s="8" t="str">
        <f t="shared" si="95"/>
        <v>20150810</v>
      </c>
      <c r="C79" s="8" t="str">
        <f t="shared" si="91"/>
        <v>证券买入</v>
      </c>
      <c r="D79" s="8" t="str">
        <f t="shared" ref="D79:D83" si="96">"600597"</f>
        <v>600597</v>
      </c>
      <c r="E79" s="8" t="str">
        <f t="shared" ref="E79:E83" si="97">"光明乳业"</f>
        <v>光明乳业</v>
      </c>
      <c r="F79" s="8">
        <v>20</v>
      </c>
      <c r="G79" s="8">
        <v>3000</v>
      </c>
      <c r="H79" s="8">
        <v>60000</v>
      </c>
      <c r="I79" s="8">
        <v>-60019.8</v>
      </c>
      <c r="J79" s="8">
        <v>62546.87</v>
      </c>
      <c r="K79" s="8">
        <v>3000</v>
      </c>
      <c r="L79" s="8" t="str">
        <f t="shared" si="81"/>
        <v>人民币</v>
      </c>
      <c r="M79" s="8" t="str">
        <f>"1361008513"</f>
        <v>1361008513</v>
      </c>
      <c r="N79" s="8" t="str">
        <f t="shared" si="79"/>
        <v>A368402599</v>
      </c>
      <c r="O79" s="8" t="str">
        <f t="shared" si="82"/>
        <v>300100052893</v>
      </c>
    </row>
    <row r="80" spans="1:15">
      <c r="A80" s="8" t="str">
        <f>"20150811"</f>
        <v>20150811</v>
      </c>
      <c r="B80" s="8" t="str">
        <f>"20150811"</f>
        <v>20150811</v>
      </c>
      <c r="C80" s="8" t="str">
        <f t="shared" ref="C80:C87" si="98">"证券卖出"</f>
        <v>证券卖出</v>
      </c>
      <c r="D80" s="8" t="str">
        <f>"600789"</f>
        <v>600789</v>
      </c>
      <c r="E80" s="8" t="str">
        <f>"鲁抗医药"</f>
        <v>鲁抗医药</v>
      </c>
      <c r="F80" s="8">
        <v>13.84</v>
      </c>
      <c r="G80" s="8">
        <v>1000</v>
      </c>
      <c r="H80" s="8">
        <v>13840</v>
      </c>
      <c r="I80" s="8">
        <v>13820.88</v>
      </c>
      <c r="J80" s="8">
        <v>76367.75</v>
      </c>
      <c r="K80" s="8">
        <v>0</v>
      </c>
      <c r="L80" s="8" t="str">
        <f t="shared" si="81"/>
        <v>人民币</v>
      </c>
      <c r="M80" s="8" t="str">
        <f>"1361003783"</f>
        <v>1361003783</v>
      </c>
      <c r="N80" s="8" t="str">
        <f t="shared" si="79"/>
        <v>A368402599</v>
      </c>
      <c r="O80" s="8" t="str">
        <f t="shared" si="82"/>
        <v>300100052893</v>
      </c>
    </row>
    <row r="81" spans="1:15">
      <c r="A81" s="8" t="str">
        <f>"20150811"</f>
        <v>20150811</v>
      </c>
      <c r="B81" s="8" t="str">
        <f>"20150811"</f>
        <v>20150811</v>
      </c>
      <c r="C81" s="8" t="str">
        <f>"证券买入"</f>
        <v>证券买入</v>
      </c>
      <c r="D81" s="8" t="str">
        <f t="shared" si="96"/>
        <v>600597</v>
      </c>
      <c r="E81" s="8" t="str">
        <f t="shared" si="97"/>
        <v>光明乳业</v>
      </c>
      <c r="F81" s="8">
        <v>20.732</v>
      </c>
      <c r="G81" s="8">
        <v>3000</v>
      </c>
      <c r="H81" s="8">
        <v>62195</v>
      </c>
      <c r="I81" s="8">
        <v>-62215.53</v>
      </c>
      <c r="J81" s="8">
        <v>14152.22</v>
      </c>
      <c r="K81" s="8">
        <v>6000</v>
      </c>
      <c r="L81" s="8" t="str">
        <f t="shared" si="81"/>
        <v>人民币</v>
      </c>
      <c r="M81" s="8" t="str">
        <f>"1361008275"</f>
        <v>1361008275</v>
      </c>
      <c r="N81" s="8" t="str">
        <f t="shared" si="79"/>
        <v>A368402599</v>
      </c>
      <c r="O81" s="8" t="str">
        <f t="shared" si="82"/>
        <v>300100052893</v>
      </c>
    </row>
    <row r="82" spans="1:15">
      <c r="A82" s="8" t="str">
        <f>"20150812"</f>
        <v>20150812</v>
      </c>
      <c r="B82" s="8" t="str">
        <f>"20150812"</f>
        <v>20150812</v>
      </c>
      <c r="C82" s="8" t="str">
        <f t="shared" si="98"/>
        <v>证券卖出</v>
      </c>
      <c r="D82" s="8" t="str">
        <f t="shared" si="96"/>
        <v>600597</v>
      </c>
      <c r="E82" s="8" t="str">
        <f t="shared" si="97"/>
        <v>光明乳业</v>
      </c>
      <c r="F82" s="8">
        <v>20.67</v>
      </c>
      <c r="G82" s="8">
        <v>6000</v>
      </c>
      <c r="H82" s="8">
        <v>124020</v>
      </c>
      <c r="I82" s="8">
        <v>123855.04</v>
      </c>
      <c r="J82" s="8">
        <v>138007.26</v>
      </c>
      <c r="K82" s="8">
        <v>0</v>
      </c>
      <c r="L82" s="8" t="str">
        <f t="shared" si="81"/>
        <v>人民币</v>
      </c>
      <c r="M82" s="8" t="str">
        <f>"1361003817"</f>
        <v>1361003817</v>
      </c>
      <c r="N82" s="8" t="str">
        <f t="shared" si="79"/>
        <v>A368402599</v>
      </c>
      <c r="O82" s="8" t="str">
        <f t="shared" si="82"/>
        <v>300100052893</v>
      </c>
    </row>
    <row r="83" spans="1:15">
      <c r="A83" s="8" t="str">
        <f>"20150812"</f>
        <v>20150812</v>
      </c>
      <c r="B83" s="8" t="str">
        <f>"20150812"</f>
        <v>20150812</v>
      </c>
      <c r="C83" s="8" t="str">
        <f>"证券买入"</f>
        <v>证券买入</v>
      </c>
      <c r="D83" s="8" t="str">
        <f t="shared" si="96"/>
        <v>600597</v>
      </c>
      <c r="E83" s="8" t="str">
        <f t="shared" si="97"/>
        <v>光明乳业</v>
      </c>
      <c r="F83" s="8">
        <v>20.85</v>
      </c>
      <c r="G83" s="8">
        <v>3000</v>
      </c>
      <c r="H83" s="8">
        <v>62550</v>
      </c>
      <c r="I83" s="8">
        <v>-62570.64</v>
      </c>
      <c r="J83" s="8">
        <v>75436.62</v>
      </c>
      <c r="K83" s="8">
        <v>3000</v>
      </c>
      <c r="L83" s="8" t="str">
        <f t="shared" si="81"/>
        <v>人民币</v>
      </c>
      <c r="M83" s="8" t="str">
        <f>"1361004699"</f>
        <v>1361004699</v>
      </c>
      <c r="N83" s="8" t="str">
        <f t="shared" si="79"/>
        <v>A368402599</v>
      </c>
      <c r="O83" s="8" t="str">
        <f t="shared" si="82"/>
        <v>300100052893</v>
      </c>
    </row>
    <row r="84" spans="1:15">
      <c r="A84" s="8" t="str">
        <f t="shared" ref="A84:A87" si="99">"20150813"</f>
        <v>20150813</v>
      </c>
      <c r="B84" s="8" t="str">
        <f t="shared" ref="B84:B87" si="100">"20150813"</f>
        <v>20150813</v>
      </c>
      <c r="C84" s="8" t="str">
        <f>"证券转银行"</f>
        <v>证券转银行</v>
      </c>
      <c r="F84" s="8">
        <v>0</v>
      </c>
      <c r="G84" s="8">
        <v>0</v>
      </c>
      <c r="H84" s="8">
        <v>0</v>
      </c>
      <c r="I84" s="8">
        <v>-75000</v>
      </c>
      <c r="J84" s="8">
        <v>436.62</v>
      </c>
      <c r="K84" s="8">
        <v>0</v>
      </c>
      <c r="L84" s="8" t="str">
        <f t="shared" si="81"/>
        <v>人民币</v>
      </c>
      <c r="O84" s="8" t="str">
        <f t="shared" si="82"/>
        <v>300100052893</v>
      </c>
    </row>
    <row r="85" spans="1:15">
      <c r="A85" s="8" t="str">
        <f t="shared" si="99"/>
        <v>20150813</v>
      </c>
      <c r="B85" s="8" t="str">
        <f t="shared" si="100"/>
        <v>20150813</v>
      </c>
      <c r="C85" s="8" t="str">
        <f t="shared" si="98"/>
        <v>证券卖出</v>
      </c>
      <c r="D85" s="8" t="str">
        <f t="shared" ref="D85:D87" si="101">"600597"</f>
        <v>600597</v>
      </c>
      <c r="E85" s="8" t="str">
        <f t="shared" ref="E85:E87" si="102">"光明乳业"</f>
        <v>光明乳业</v>
      </c>
      <c r="F85" s="8">
        <v>21.195</v>
      </c>
      <c r="G85" s="8">
        <v>1000</v>
      </c>
      <c r="H85" s="8">
        <v>21195</v>
      </c>
      <c r="I85" s="8">
        <v>21166.81</v>
      </c>
      <c r="J85" s="8">
        <v>21603.43</v>
      </c>
      <c r="K85" s="8">
        <v>2000</v>
      </c>
      <c r="L85" s="8" t="str">
        <f t="shared" si="81"/>
        <v>人民币</v>
      </c>
      <c r="M85" s="8" t="str">
        <f>"1361003222"</f>
        <v>1361003222</v>
      </c>
      <c r="N85" s="8" t="str">
        <f t="shared" ref="N85:N89" si="103">"A368402599"</f>
        <v>A368402599</v>
      </c>
      <c r="O85" s="8" t="str">
        <f t="shared" si="82"/>
        <v>300100052893</v>
      </c>
    </row>
    <row r="86" spans="1:15">
      <c r="A86" s="8" t="str">
        <f t="shared" si="99"/>
        <v>20150813</v>
      </c>
      <c r="B86" s="8" t="str">
        <f t="shared" si="100"/>
        <v>20150813</v>
      </c>
      <c r="C86" s="8" t="str">
        <f t="shared" si="98"/>
        <v>证券卖出</v>
      </c>
      <c r="D86" s="8" t="str">
        <f t="shared" si="101"/>
        <v>600597</v>
      </c>
      <c r="E86" s="8" t="str">
        <f t="shared" si="102"/>
        <v>光明乳业</v>
      </c>
      <c r="F86" s="8">
        <v>21.23</v>
      </c>
      <c r="G86" s="8">
        <v>1000</v>
      </c>
      <c r="H86" s="8">
        <v>21230</v>
      </c>
      <c r="I86" s="8">
        <v>21201.77</v>
      </c>
      <c r="J86" s="8">
        <v>42805.2</v>
      </c>
      <c r="K86" s="8">
        <v>1000</v>
      </c>
      <c r="L86" s="8" t="str">
        <f t="shared" si="81"/>
        <v>人民币</v>
      </c>
      <c r="M86" s="8" t="str">
        <f>"1361004202"</f>
        <v>1361004202</v>
      </c>
      <c r="N86" s="8" t="str">
        <f t="shared" si="103"/>
        <v>A368402599</v>
      </c>
      <c r="O86" s="8" t="str">
        <f t="shared" si="82"/>
        <v>300100052893</v>
      </c>
    </row>
    <row r="87" spans="1:15">
      <c r="A87" s="8" t="str">
        <f t="shared" si="99"/>
        <v>20150813</v>
      </c>
      <c r="B87" s="8" t="str">
        <f t="shared" si="100"/>
        <v>20150813</v>
      </c>
      <c r="C87" s="8" t="str">
        <f t="shared" si="98"/>
        <v>证券卖出</v>
      </c>
      <c r="D87" s="8" t="str">
        <f t="shared" si="101"/>
        <v>600597</v>
      </c>
      <c r="E87" s="8" t="str">
        <f t="shared" si="102"/>
        <v>光明乳业</v>
      </c>
      <c r="F87" s="8">
        <v>20.96</v>
      </c>
      <c r="G87" s="8">
        <v>1000</v>
      </c>
      <c r="H87" s="8">
        <v>20960</v>
      </c>
      <c r="I87" s="8">
        <v>20932.12</v>
      </c>
      <c r="J87" s="8">
        <v>63737.32</v>
      </c>
      <c r="K87" s="8">
        <v>0</v>
      </c>
      <c r="L87" s="8" t="str">
        <f t="shared" si="81"/>
        <v>人民币</v>
      </c>
      <c r="M87" s="8" t="str">
        <f>"1361007579"</f>
        <v>1361007579</v>
      </c>
      <c r="N87" s="8" t="str">
        <f t="shared" si="103"/>
        <v>A368402599</v>
      </c>
      <c r="O87" s="8" t="str">
        <f t="shared" si="82"/>
        <v>300100052893</v>
      </c>
    </row>
    <row r="88" spans="1:15">
      <c r="A88" s="8" t="str">
        <f t="shared" ref="A88:A90" si="104">"20150814"</f>
        <v>20150814</v>
      </c>
      <c r="B88" s="8" t="str">
        <f t="shared" ref="B88:B90" si="105">"20150814"</f>
        <v>20150814</v>
      </c>
      <c r="C88" s="8" t="str">
        <f t="shared" ref="C88:C93" si="106">"证券买入"</f>
        <v>证券买入</v>
      </c>
      <c r="D88" s="8" t="str">
        <f>"600219"</f>
        <v>600219</v>
      </c>
      <c r="E88" s="8" t="str">
        <f>"南山铝业"</f>
        <v>南山铝业</v>
      </c>
      <c r="F88" s="8">
        <v>8.53</v>
      </c>
      <c r="G88" s="8">
        <v>5000</v>
      </c>
      <c r="H88" s="8">
        <v>42650</v>
      </c>
      <c r="I88" s="8">
        <v>-42664.07</v>
      </c>
      <c r="J88" s="8">
        <v>21073.25</v>
      </c>
      <c r="K88" s="8">
        <v>10000</v>
      </c>
      <c r="L88" s="8" t="str">
        <f t="shared" si="81"/>
        <v>人民币</v>
      </c>
      <c r="M88" s="8" t="str">
        <f>"1361005170"</f>
        <v>1361005170</v>
      </c>
      <c r="N88" s="8" t="str">
        <f t="shared" si="103"/>
        <v>A368402599</v>
      </c>
      <c r="O88" s="8" t="str">
        <f t="shared" si="82"/>
        <v>300100052893</v>
      </c>
    </row>
    <row r="89" spans="1:15">
      <c r="A89" s="8" t="str">
        <f t="shared" si="104"/>
        <v>20150814</v>
      </c>
      <c r="B89" s="8" t="str">
        <f t="shared" si="105"/>
        <v>20150814</v>
      </c>
      <c r="C89" s="8" t="str">
        <f>"证券卖出"</f>
        <v>证券卖出</v>
      </c>
      <c r="D89" s="8" t="str">
        <f>"600219"</f>
        <v>600219</v>
      </c>
      <c r="E89" s="8" t="str">
        <f>"南山铝业"</f>
        <v>南山铝业</v>
      </c>
      <c r="F89" s="8">
        <v>8.49</v>
      </c>
      <c r="G89" s="8">
        <v>5000</v>
      </c>
      <c r="H89" s="8">
        <v>42450</v>
      </c>
      <c r="I89" s="8">
        <v>42393.54</v>
      </c>
      <c r="J89" s="8">
        <v>63466.79</v>
      </c>
      <c r="K89" s="8">
        <v>5000</v>
      </c>
      <c r="L89" s="8" t="str">
        <f t="shared" si="81"/>
        <v>人民币</v>
      </c>
      <c r="M89" s="8" t="str">
        <f>"1361006283"</f>
        <v>1361006283</v>
      </c>
      <c r="N89" s="8" t="str">
        <f t="shared" si="103"/>
        <v>A368402599</v>
      </c>
      <c r="O89" s="8" t="str">
        <f t="shared" si="82"/>
        <v>300100052893</v>
      </c>
    </row>
    <row r="90" spans="1:15">
      <c r="A90" s="8" t="str">
        <f t="shared" si="104"/>
        <v>20150814</v>
      </c>
      <c r="B90" s="8" t="str">
        <f t="shared" si="105"/>
        <v>20150814</v>
      </c>
      <c r="C90" s="8" t="str">
        <f t="shared" si="106"/>
        <v>证券买入</v>
      </c>
      <c r="D90" s="8" t="str">
        <f>"002197"</f>
        <v>002197</v>
      </c>
      <c r="E90" s="8" t="str">
        <f>"证通电子"</f>
        <v>证通电子</v>
      </c>
      <c r="F90" s="8">
        <v>26.18</v>
      </c>
      <c r="G90" s="8">
        <v>500</v>
      </c>
      <c r="H90" s="8">
        <v>13090</v>
      </c>
      <c r="I90" s="8">
        <v>-13095</v>
      </c>
      <c r="J90" s="8">
        <v>50371.79</v>
      </c>
      <c r="K90" s="8">
        <v>500</v>
      </c>
      <c r="L90" s="8" t="str">
        <f t="shared" si="81"/>
        <v>人民币</v>
      </c>
      <c r="M90" s="8" t="str">
        <f>"T4013279"</f>
        <v>T4013279</v>
      </c>
      <c r="N90" s="8" t="str">
        <f t="shared" ref="N90:N93" si="107">"0149593788"</f>
        <v>0149593788</v>
      </c>
      <c r="O90" s="8" t="str">
        <f t="shared" si="82"/>
        <v>300100052893</v>
      </c>
    </row>
    <row r="91" spans="1:15">
      <c r="A91" s="8" t="str">
        <f>"20150821"</f>
        <v>20150821</v>
      </c>
      <c r="B91" s="8" t="str">
        <f>"20150821"</f>
        <v>20150821</v>
      </c>
      <c r="C91" s="8" t="str">
        <f t="shared" si="106"/>
        <v>证券买入</v>
      </c>
      <c r="D91" s="8" t="str">
        <f>"510300"</f>
        <v>510300</v>
      </c>
      <c r="E91" s="8" t="str">
        <f>"300ETF"</f>
        <v>300ETF</v>
      </c>
      <c r="F91" s="8">
        <v>3.71</v>
      </c>
      <c r="G91" s="8">
        <v>2000</v>
      </c>
      <c r="H91" s="8">
        <v>7420</v>
      </c>
      <c r="I91" s="8">
        <v>-7425</v>
      </c>
      <c r="J91" s="8">
        <v>42946.79</v>
      </c>
      <c r="K91" s="8">
        <v>2000</v>
      </c>
      <c r="L91" s="8" t="str">
        <f t="shared" si="81"/>
        <v>人民币</v>
      </c>
      <c r="M91" s="8" t="str">
        <f>"1361006141"</f>
        <v>1361006141</v>
      </c>
      <c r="N91" s="8" t="str">
        <f>"A368402599"</f>
        <v>A368402599</v>
      </c>
      <c r="O91" s="8" t="str">
        <f t="shared" si="82"/>
        <v>300100052893</v>
      </c>
    </row>
    <row r="92" spans="1:15">
      <c r="A92" s="8" t="str">
        <f>"20150825"</f>
        <v>20150825</v>
      </c>
      <c r="B92" s="8" t="str">
        <f>"20150825"</f>
        <v>20150825</v>
      </c>
      <c r="C92" s="8" t="str">
        <f t="shared" si="106"/>
        <v>证券买入</v>
      </c>
      <c r="D92" s="8" t="str">
        <f t="shared" ref="D92:D96" si="108">"150209"</f>
        <v>150209</v>
      </c>
      <c r="E92" s="8" t="str">
        <f t="shared" ref="E92:E96" si="109">"国企改A"</f>
        <v>国企改A</v>
      </c>
      <c r="F92" s="8">
        <v>0.916</v>
      </c>
      <c r="G92" s="8">
        <v>20000</v>
      </c>
      <c r="H92" s="8">
        <v>18320</v>
      </c>
      <c r="I92" s="8">
        <v>-18325.68</v>
      </c>
      <c r="J92" s="8">
        <v>24621.11</v>
      </c>
      <c r="K92" s="8">
        <v>20000</v>
      </c>
      <c r="L92" s="8" t="str">
        <f t="shared" si="81"/>
        <v>人民币</v>
      </c>
      <c r="M92" s="8" t="str">
        <f>"T4001213"</f>
        <v>T4001213</v>
      </c>
      <c r="N92" s="8" t="str">
        <f t="shared" si="107"/>
        <v>0149593788</v>
      </c>
      <c r="O92" s="8" t="str">
        <f t="shared" si="82"/>
        <v>300100052893</v>
      </c>
    </row>
    <row r="93" spans="1:15">
      <c r="A93" s="8" t="str">
        <f>"20150826"</f>
        <v>20150826</v>
      </c>
      <c r="B93" s="8" t="str">
        <f>"20150826"</f>
        <v>20150826</v>
      </c>
      <c r="C93" s="8" t="str">
        <f t="shared" si="106"/>
        <v>证券买入</v>
      </c>
      <c r="D93" s="8" t="str">
        <f t="shared" si="108"/>
        <v>150209</v>
      </c>
      <c r="E93" s="8" t="str">
        <f t="shared" si="109"/>
        <v>国企改A</v>
      </c>
      <c r="F93" s="8">
        <v>0.918</v>
      </c>
      <c r="G93" s="8">
        <v>20000</v>
      </c>
      <c r="H93" s="8">
        <v>18360</v>
      </c>
      <c r="I93" s="8">
        <v>-18365.69</v>
      </c>
      <c r="J93" s="8">
        <v>6255.42</v>
      </c>
      <c r="K93" s="8">
        <v>40000</v>
      </c>
      <c r="L93" s="8" t="str">
        <f t="shared" si="81"/>
        <v>人民币</v>
      </c>
      <c r="M93" s="8" t="str">
        <f>"T4002168"</f>
        <v>T4002168</v>
      </c>
      <c r="N93" s="8" t="str">
        <f t="shared" si="107"/>
        <v>0149593788</v>
      </c>
      <c r="O93" s="8" t="str">
        <f t="shared" si="82"/>
        <v>300100052893</v>
      </c>
    </row>
    <row r="94" spans="1:15">
      <c r="A94" s="8" t="str">
        <f>"20150827"</f>
        <v>20150827</v>
      </c>
      <c r="B94" s="8" t="str">
        <f>"20150827"</f>
        <v>20150827</v>
      </c>
      <c r="C94" s="8" t="str">
        <f>"银行转证券"</f>
        <v>银行转证券</v>
      </c>
      <c r="F94" s="8">
        <v>0</v>
      </c>
      <c r="G94" s="8">
        <v>0</v>
      </c>
      <c r="H94" s="8">
        <v>0</v>
      </c>
      <c r="I94" s="8">
        <v>100000</v>
      </c>
      <c r="J94" s="8">
        <v>106255.42</v>
      </c>
      <c r="K94" s="8">
        <v>0</v>
      </c>
      <c r="L94" s="8" t="str">
        <f t="shared" si="81"/>
        <v>人民币</v>
      </c>
      <c r="O94" s="8" t="str">
        <f t="shared" si="82"/>
        <v>300100052893</v>
      </c>
    </row>
    <row r="95" spans="1:15">
      <c r="A95" s="8" t="str">
        <f>"20150827"</f>
        <v>20150827</v>
      </c>
      <c r="B95" s="8" t="str">
        <f>"20150827"</f>
        <v>20150827</v>
      </c>
      <c r="C95" s="8" t="str">
        <f>"证券买入"</f>
        <v>证券买入</v>
      </c>
      <c r="D95" s="8" t="str">
        <f t="shared" si="108"/>
        <v>150209</v>
      </c>
      <c r="E95" s="8" t="str">
        <f t="shared" si="109"/>
        <v>国企改A</v>
      </c>
      <c r="F95" s="8">
        <v>0.936</v>
      </c>
      <c r="G95" s="8">
        <v>112900</v>
      </c>
      <c r="H95" s="8">
        <v>105674.4</v>
      </c>
      <c r="I95" s="8">
        <v>-105707.16</v>
      </c>
      <c r="J95" s="8">
        <v>548.26</v>
      </c>
      <c r="K95" s="8">
        <v>152900</v>
      </c>
      <c r="L95" s="8" t="str">
        <f t="shared" si="81"/>
        <v>人民币</v>
      </c>
      <c r="M95" s="8" t="str">
        <f>"T4004750"</f>
        <v>T4004750</v>
      </c>
      <c r="N95" s="8" t="str">
        <f t="shared" ref="N95:N99" si="110">"0149593788"</f>
        <v>0149593788</v>
      </c>
      <c r="O95" s="8" t="str">
        <f t="shared" si="82"/>
        <v>300100052893</v>
      </c>
    </row>
    <row r="96" spans="1:15">
      <c r="A96" s="8" t="str">
        <f t="shared" ref="A96:A98" si="111">"20150828"</f>
        <v>20150828</v>
      </c>
      <c r="B96" s="8" t="str">
        <f t="shared" ref="B96:B98" si="112">"20150828"</f>
        <v>20150828</v>
      </c>
      <c r="C96" s="8" t="str">
        <f>"开放基金拆分增股"</f>
        <v>开放基金拆分增股</v>
      </c>
      <c r="D96" s="8" t="str">
        <f t="shared" si="108"/>
        <v>150209</v>
      </c>
      <c r="E96" s="8" t="str">
        <f t="shared" si="109"/>
        <v>国企改A</v>
      </c>
      <c r="F96" s="8">
        <v>0</v>
      </c>
      <c r="G96" s="8">
        <v>44557</v>
      </c>
      <c r="H96" s="8">
        <v>0</v>
      </c>
      <c r="I96" s="8">
        <v>0</v>
      </c>
      <c r="J96" s="8">
        <v>548.26</v>
      </c>
      <c r="K96" s="8">
        <v>197457</v>
      </c>
      <c r="L96" s="8" t="str">
        <f t="shared" si="81"/>
        <v>人民币</v>
      </c>
      <c r="N96" s="8" t="str">
        <f t="shared" si="110"/>
        <v>0149593788</v>
      </c>
      <c r="O96" s="8" t="str">
        <f t="shared" si="82"/>
        <v>300100052893</v>
      </c>
    </row>
    <row r="97" spans="1:15">
      <c r="A97" s="8" t="str">
        <f t="shared" si="111"/>
        <v>20150828</v>
      </c>
      <c r="B97" s="8" t="str">
        <f t="shared" si="112"/>
        <v>20150828</v>
      </c>
      <c r="C97" s="8" t="str">
        <f>"开放基金拆分增股"</f>
        <v>开放基金拆分增股</v>
      </c>
      <c r="D97" s="8" t="str">
        <f>"161026"</f>
        <v>161026</v>
      </c>
      <c r="E97" s="8" t="str">
        <f>"国企改革"</f>
        <v>国企改革</v>
      </c>
      <c r="F97" s="8">
        <v>0</v>
      </c>
      <c r="G97" s="8">
        <v>110560</v>
      </c>
      <c r="H97" s="8">
        <v>0</v>
      </c>
      <c r="I97" s="8">
        <v>0</v>
      </c>
      <c r="J97" s="8">
        <v>548.26</v>
      </c>
      <c r="K97" s="8">
        <v>110560</v>
      </c>
      <c r="L97" s="8" t="str">
        <f t="shared" si="81"/>
        <v>人民币</v>
      </c>
      <c r="N97" s="8" t="str">
        <f t="shared" si="110"/>
        <v>0149593788</v>
      </c>
      <c r="O97" s="8" t="str">
        <f t="shared" si="82"/>
        <v>300100052893</v>
      </c>
    </row>
    <row r="98" spans="1:15">
      <c r="A98" s="8" t="str">
        <f t="shared" si="111"/>
        <v>20150828</v>
      </c>
      <c r="B98" s="8" t="str">
        <f t="shared" si="112"/>
        <v>20150828</v>
      </c>
      <c r="C98" s="8" t="str">
        <f>"开放基金合并减股"</f>
        <v>开放基金合并减股</v>
      </c>
      <c r="D98" s="8" t="str">
        <f>"150209"</f>
        <v>150209</v>
      </c>
      <c r="E98" s="8" t="str">
        <f>"国企改A"</f>
        <v>国企改A</v>
      </c>
      <c r="F98" s="8">
        <v>0</v>
      </c>
      <c r="G98" s="8">
        <v>152900</v>
      </c>
      <c r="H98" s="8">
        <v>0</v>
      </c>
      <c r="I98" s="8">
        <v>0</v>
      </c>
      <c r="J98" s="8">
        <v>548.26</v>
      </c>
      <c r="K98" s="8">
        <v>44557</v>
      </c>
      <c r="L98" s="8" t="str">
        <f t="shared" si="81"/>
        <v>人民币</v>
      </c>
      <c r="N98" s="8" t="str">
        <f t="shared" si="110"/>
        <v>0149593788</v>
      </c>
      <c r="O98" s="8" t="str">
        <f t="shared" si="82"/>
        <v>300100052893</v>
      </c>
    </row>
    <row r="99" spans="1:15">
      <c r="A99" s="8" t="str">
        <f>"20150831"</f>
        <v>20150831</v>
      </c>
      <c r="B99" s="8" t="str">
        <f>"20150831"</f>
        <v>20150831</v>
      </c>
      <c r="C99" s="8" t="str">
        <f>"证券卖出"</f>
        <v>证券卖出</v>
      </c>
      <c r="D99" s="8" t="str">
        <f>"150209"</f>
        <v>150209</v>
      </c>
      <c r="E99" s="8" t="str">
        <f>"国企改A"</f>
        <v>国企改A</v>
      </c>
      <c r="F99" s="8">
        <v>0.901</v>
      </c>
      <c r="G99" s="8">
        <v>44557</v>
      </c>
      <c r="H99" s="8">
        <v>40145.86</v>
      </c>
      <c r="I99" s="8">
        <v>40133.41</v>
      </c>
      <c r="J99" s="8">
        <v>40681.67</v>
      </c>
      <c r="K99" s="8">
        <v>0</v>
      </c>
      <c r="L99" s="8" t="str">
        <f t="shared" si="81"/>
        <v>人民币</v>
      </c>
      <c r="M99" s="8" t="str">
        <f>"T4005438"</f>
        <v>T4005438</v>
      </c>
      <c r="N99" s="8" t="str">
        <f t="shared" si="110"/>
        <v>0149593788</v>
      </c>
      <c r="O99" s="8" t="str">
        <f t="shared" si="82"/>
        <v>300100052893</v>
      </c>
    </row>
    <row r="100" spans="1:15">
      <c r="A100" s="8" t="str">
        <f>"20150901"</f>
        <v>20150901</v>
      </c>
      <c r="B100" s="8" t="str">
        <f>"20150901"</f>
        <v>20150901</v>
      </c>
      <c r="C100" s="8" t="str">
        <f>"证券转银行"</f>
        <v>证券转银行</v>
      </c>
      <c r="F100" s="8">
        <v>0</v>
      </c>
      <c r="G100" s="8">
        <v>0</v>
      </c>
      <c r="H100" s="8">
        <v>0</v>
      </c>
      <c r="I100" s="8">
        <v>-40000</v>
      </c>
      <c r="J100" s="8">
        <v>681.67</v>
      </c>
      <c r="K100" s="8">
        <v>0</v>
      </c>
      <c r="L100" s="8" t="str">
        <f t="shared" si="81"/>
        <v>人民币</v>
      </c>
      <c r="O100" s="8" t="str">
        <f t="shared" si="82"/>
        <v>300100052893</v>
      </c>
    </row>
    <row r="101" spans="1:15">
      <c r="A101" s="8" t="str">
        <f>"20150902"</f>
        <v>20150902</v>
      </c>
      <c r="B101" s="8" t="str">
        <f>"20150831"</f>
        <v>20150831</v>
      </c>
      <c r="C101" s="8" t="str">
        <f>"开放基金赎回"</f>
        <v>开放基金赎回</v>
      </c>
      <c r="D101" s="8" t="str">
        <f>"161026"</f>
        <v>161026</v>
      </c>
      <c r="E101" s="8" t="str">
        <f>"国企改革"</f>
        <v>国企改革</v>
      </c>
      <c r="F101" s="8">
        <v>1.044</v>
      </c>
      <c r="G101" s="8">
        <v>110560</v>
      </c>
      <c r="H101" s="8">
        <v>115424.64</v>
      </c>
      <c r="I101" s="8">
        <v>114847.52</v>
      </c>
      <c r="J101" s="8">
        <v>115529.19</v>
      </c>
      <c r="K101" s="8">
        <v>0</v>
      </c>
      <c r="L101" s="8" t="str">
        <f t="shared" si="81"/>
        <v>人民币</v>
      </c>
      <c r="M101" s="8" t="str">
        <f>"T4005544"</f>
        <v>T4005544</v>
      </c>
      <c r="N101" s="8" t="str">
        <f t="shared" ref="N101:N105" si="113">"0149593788"</f>
        <v>0149593788</v>
      </c>
      <c r="O101" s="8" t="str">
        <f t="shared" si="82"/>
        <v>300100052893</v>
      </c>
    </row>
    <row r="102" spans="1:15">
      <c r="A102" s="8" t="str">
        <f t="shared" ref="A102:A104" si="114">"20150909"</f>
        <v>20150909</v>
      </c>
      <c r="B102" s="8" t="str">
        <f t="shared" ref="B102:B104" si="115">"20150909"</f>
        <v>20150909</v>
      </c>
      <c r="C102" s="8" t="str">
        <f t="shared" ref="C102:C104" si="116">"证券买入"</f>
        <v>证券买入</v>
      </c>
      <c r="D102" s="8" t="str">
        <f t="shared" ref="D102:D109" si="117">"600219"</f>
        <v>600219</v>
      </c>
      <c r="E102" s="8" t="str">
        <f t="shared" ref="E102:E109" si="118">"南山铝业"</f>
        <v>南山铝业</v>
      </c>
      <c r="F102" s="8">
        <v>6.84</v>
      </c>
      <c r="G102" s="8">
        <v>5000</v>
      </c>
      <c r="H102" s="8">
        <v>34200</v>
      </c>
      <c r="I102" s="8">
        <v>-34211.28</v>
      </c>
      <c r="J102" s="8">
        <v>81317.91</v>
      </c>
      <c r="K102" s="8">
        <v>10000</v>
      </c>
      <c r="L102" s="8" t="str">
        <f t="shared" si="81"/>
        <v>人民币</v>
      </c>
      <c r="M102" s="8" t="str">
        <f>"1361003581"</f>
        <v>1361003581</v>
      </c>
      <c r="N102" s="8" t="str">
        <f t="shared" ref="N102:N109" si="119">"A368402599"</f>
        <v>A368402599</v>
      </c>
      <c r="O102" s="8" t="str">
        <f t="shared" si="82"/>
        <v>300100052893</v>
      </c>
    </row>
    <row r="103" spans="1:15">
      <c r="A103" s="8" t="str">
        <f t="shared" si="114"/>
        <v>20150909</v>
      </c>
      <c r="B103" s="8" t="str">
        <f t="shared" si="115"/>
        <v>20150909</v>
      </c>
      <c r="C103" s="8" t="str">
        <f t="shared" si="116"/>
        <v>证券买入</v>
      </c>
      <c r="D103" s="8" t="str">
        <f>"002197"</f>
        <v>002197</v>
      </c>
      <c r="E103" s="8" t="str">
        <f>"证通电子"</f>
        <v>证通电子</v>
      </c>
      <c r="F103" s="8">
        <v>16.22</v>
      </c>
      <c r="G103" s="8">
        <v>500</v>
      </c>
      <c r="H103" s="8">
        <v>8110</v>
      </c>
      <c r="I103" s="8">
        <v>-8115</v>
      </c>
      <c r="J103" s="8">
        <v>73202.91</v>
      </c>
      <c r="K103" s="8">
        <v>1000</v>
      </c>
      <c r="L103" s="8" t="str">
        <f t="shared" si="81"/>
        <v>人民币</v>
      </c>
      <c r="M103" s="8" t="str">
        <f>"T4004313"</f>
        <v>T4004313</v>
      </c>
      <c r="N103" s="8" t="str">
        <f t="shared" si="113"/>
        <v>0149593788</v>
      </c>
      <c r="O103" s="8" t="str">
        <f t="shared" si="82"/>
        <v>300100052893</v>
      </c>
    </row>
    <row r="104" spans="1:15">
      <c r="A104" s="8" t="str">
        <f t="shared" si="114"/>
        <v>20150909</v>
      </c>
      <c r="B104" s="8" t="str">
        <f t="shared" si="115"/>
        <v>20150909</v>
      </c>
      <c r="C104" s="8" t="str">
        <f t="shared" si="116"/>
        <v>证券买入</v>
      </c>
      <c r="D104" s="8" t="str">
        <f>"510300"</f>
        <v>510300</v>
      </c>
      <c r="E104" s="8" t="str">
        <f>"300ETF"</f>
        <v>300ETF</v>
      </c>
      <c r="F104" s="8">
        <v>3.442</v>
      </c>
      <c r="G104" s="8">
        <v>20000</v>
      </c>
      <c r="H104" s="8">
        <v>68840</v>
      </c>
      <c r="I104" s="8">
        <v>-68861.34</v>
      </c>
      <c r="J104" s="8">
        <v>4341.57</v>
      </c>
      <c r="K104" s="8">
        <v>22000</v>
      </c>
      <c r="L104" s="8" t="str">
        <f t="shared" si="81"/>
        <v>人民币</v>
      </c>
      <c r="M104" s="8" t="str">
        <f>"1361004090"</f>
        <v>1361004090</v>
      </c>
      <c r="N104" s="8" t="str">
        <f t="shared" si="119"/>
        <v>A368402599</v>
      </c>
      <c r="O104" s="8" t="str">
        <f t="shared" si="82"/>
        <v>300100052893</v>
      </c>
    </row>
    <row r="105" spans="1:15">
      <c r="A105" s="8" t="str">
        <f>"20150911"</f>
        <v>20150911</v>
      </c>
      <c r="B105" s="8" t="str">
        <f>"20150911"</f>
        <v>20150911</v>
      </c>
      <c r="C105" s="8" t="str">
        <f t="shared" ref="C105:C108" si="120">"证券卖出"</f>
        <v>证券卖出</v>
      </c>
      <c r="D105" s="8" t="str">
        <f>"002197"</f>
        <v>002197</v>
      </c>
      <c r="E105" s="8" t="str">
        <f>"证通电子"</f>
        <v>证通电子</v>
      </c>
      <c r="F105" s="8">
        <v>16.2</v>
      </c>
      <c r="G105" s="8">
        <v>500</v>
      </c>
      <c r="H105" s="8">
        <v>8100</v>
      </c>
      <c r="I105" s="8">
        <v>8086.9</v>
      </c>
      <c r="J105" s="8">
        <v>12428.47</v>
      </c>
      <c r="K105" s="8">
        <v>500</v>
      </c>
      <c r="L105" s="8" t="str">
        <f t="shared" si="81"/>
        <v>人民币</v>
      </c>
      <c r="M105" s="8" t="str">
        <f>"T4003697"</f>
        <v>T4003697</v>
      </c>
      <c r="N105" s="8" t="str">
        <f t="shared" si="113"/>
        <v>0149593788</v>
      </c>
      <c r="O105" s="8" t="str">
        <f t="shared" si="82"/>
        <v>300100052893</v>
      </c>
    </row>
    <row r="106" spans="1:15">
      <c r="A106" s="8" t="str">
        <f t="shared" ref="A106:A109" si="121">"20150917"</f>
        <v>20150917</v>
      </c>
      <c r="B106" s="8" t="str">
        <f t="shared" ref="B106:B109" si="122">"20150917"</f>
        <v>20150917</v>
      </c>
      <c r="C106" s="8" t="str">
        <f t="shared" si="120"/>
        <v>证券卖出</v>
      </c>
      <c r="D106" s="8" t="str">
        <f t="shared" si="117"/>
        <v>600219</v>
      </c>
      <c r="E106" s="8" t="str">
        <f t="shared" si="118"/>
        <v>南山铝业</v>
      </c>
      <c r="F106" s="8">
        <v>6.68</v>
      </c>
      <c r="G106" s="8">
        <v>2000</v>
      </c>
      <c r="H106" s="8">
        <v>13360</v>
      </c>
      <c r="I106" s="8">
        <v>13341.38</v>
      </c>
      <c r="J106" s="8">
        <v>25769.85</v>
      </c>
      <c r="K106" s="8">
        <v>8000</v>
      </c>
      <c r="L106" s="8" t="str">
        <f t="shared" si="81"/>
        <v>人民币</v>
      </c>
      <c r="M106" s="8" t="str">
        <f>"1361001729"</f>
        <v>1361001729</v>
      </c>
      <c r="N106" s="8" t="str">
        <f t="shared" si="119"/>
        <v>A368402599</v>
      </c>
      <c r="O106" s="8" t="str">
        <f t="shared" si="82"/>
        <v>300100052893</v>
      </c>
    </row>
    <row r="107" spans="1:15">
      <c r="A107" s="8" t="str">
        <f t="shared" si="121"/>
        <v>20150917</v>
      </c>
      <c r="B107" s="8" t="str">
        <f t="shared" si="122"/>
        <v>20150917</v>
      </c>
      <c r="C107" s="8" t="str">
        <f t="shared" si="120"/>
        <v>证券卖出</v>
      </c>
      <c r="D107" s="8" t="str">
        <f t="shared" si="117"/>
        <v>600219</v>
      </c>
      <c r="E107" s="8" t="str">
        <f t="shared" si="118"/>
        <v>南山铝业</v>
      </c>
      <c r="F107" s="8">
        <v>6.92</v>
      </c>
      <c r="G107" s="8">
        <v>1000</v>
      </c>
      <c r="H107" s="8">
        <v>6920</v>
      </c>
      <c r="I107" s="8">
        <v>6907.94</v>
      </c>
      <c r="J107" s="8">
        <v>32677.79</v>
      </c>
      <c r="K107" s="8">
        <v>7000</v>
      </c>
      <c r="L107" s="8" t="str">
        <f t="shared" si="81"/>
        <v>人民币</v>
      </c>
      <c r="M107" s="8" t="str">
        <f>"1361003546"</f>
        <v>1361003546</v>
      </c>
      <c r="N107" s="8" t="str">
        <f t="shared" si="119"/>
        <v>A368402599</v>
      </c>
      <c r="O107" s="8" t="str">
        <f t="shared" si="82"/>
        <v>300100052893</v>
      </c>
    </row>
    <row r="108" spans="1:15">
      <c r="A108" s="8" t="str">
        <f t="shared" si="121"/>
        <v>20150917</v>
      </c>
      <c r="B108" s="8" t="str">
        <f t="shared" si="122"/>
        <v>20150917</v>
      </c>
      <c r="C108" s="8" t="str">
        <f t="shared" si="120"/>
        <v>证券卖出</v>
      </c>
      <c r="D108" s="8" t="str">
        <f t="shared" si="117"/>
        <v>600219</v>
      </c>
      <c r="E108" s="8" t="str">
        <f t="shared" si="118"/>
        <v>南山铝业</v>
      </c>
      <c r="F108" s="8">
        <v>7.18</v>
      </c>
      <c r="G108" s="8">
        <v>1000</v>
      </c>
      <c r="H108" s="8">
        <v>7180</v>
      </c>
      <c r="I108" s="8">
        <v>7167.68</v>
      </c>
      <c r="J108" s="8">
        <v>39845.47</v>
      </c>
      <c r="K108" s="8">
        <v>6000</v>
      </c>
      <c r="L108" s="8" t="str">
        <f t="shared" si="81"/>
        <v>人民币</v>
      </c>
      <c r="M108" s="8" t="str">
        <f>"1361007763"</f>
        <v>1361007763</v>
      </c>
      <c r="N108" s="8" t="str">
        <f t="shared" si="119"/>
        <v>A368402599</v>
      </c>
      <c r="O108" s="8" t="str">
        <f t="shared" si="82"/>
        <v>300100052893</v>
      </c>
    </row>
    <row r="109" spans="1:15">
      <c r="A109" s="8" t="str">
        <f t="shared" si="121"/>
        <v>20150917</v>
      </c>
      <c r="B109" s="8" t="str">
        <f t="shared" si="122"/>
        <v>20150917</v>
      </c>
      <c r="C109" s="8" t="str">
        <f>"证券买入"</f>
        <v>证券买入</v>
      </c>
      <c r="D109" s="8" t="str">
        <f t="shared" si="117"/>
        <v>600219</v>
      </c>
      <c r="E109" s="8" t="str">
        <f t="shared" si="118"/>
        <v>南山铝业</v>
      </c>
      <c r="F109" s="8">
        <v>7.1</v>
      </c>
      <c r="G109" s="8">
        <v>1000</v>
      </c>
      <c r="H109" s="8">
        <v>7100</v>
      </c>
      <c r="I109" s="8">
        <v>-7105.14</v>
      </c>
      <c r="J109" s="8">
        <v>32740.33</v>
      </c>
      <c r="K109" s="8">
        <v>7000</v>
      </c>
      <c r="L109" s="8" t="str">
        <f t="shared" si="81"/>
        <v>人民币</v>
      </c>
      <c r="M109" s="8" t="str">
        <f>"1361008868"</f>
        <v>1361008868</v>
      </c>
      <c r="N109" s="8" t="str">
        <f t="shared" si="119"/>
        <v>A368402599</v>
      </c>
      <c r="O109" s="8" t="str">
        <f t="shared" si="82"/>
        <v>300100052893</v>
      </c>
    </row>
    <row r="110" spans="1:15">
      <c r="A110" s="8" t="str">
        <f>"20150921"</f>
        <v>20150921</v>
      </c>
      <c r="B110" s="8" t="str">
        <f>"20150921"</f>
        <v>20150921</v>
      </c>
      <c r="C110" s="8" t="str">
        <f>"利息归本"</f>
        <v>利息归本</v>
      </c>
      <c r="F110" s="8">
        <v>0</v>
      </c>
      <c r="G110" s="8">
        <v>0</v>
      </c>
      <c r="H110" s="8">
        <v>0</v>
      </c>
      <c r="I110" s="8">
        <v>34.14</v>
      </c>
      <c r="J110" s="8">
        <v>32774.47</v>
      </c>
      <c r="K110" s="8">
        <v>0</v>
      </c>
      <c r="L110" s="8" t="str">
        <f t="shared" si="81"/>
        <v>人民币</v>
      </c>
      <c r="O110" s="8" t="str">
        <f t="shared" si="82"/>
        <v>300100052893</v>
      </c>
    </row>
    <row r="111" spans="1:15">
      <c r="A111" s="8" t="str">
        <f>"20150923"</f>
        <v>20150923</v>
      </c>
      <c r="B111" s="8" t="str">
        <f>"20150923"</f>
        <v>20150923</v>
      </c>
      <c r="C111" s="8" t="str">
        <f>"证券卖出"</f>
        <v>证券卖出</v>
      </c>
      <c r="D111" s="8" t="str">
        <f>"510300"</f>
        <v>510300</v>
      </c>
      <c r="E111" s="8" t="str">
        <f>"300ETF"</f>
        <v>300ETF</v>
      </c>
      <c r="F111" s="8">
        <v>3.315</v>
      </c>
      <c r="G111" s="8">
        <v>20000</v>
      </c>
      <c r="H111" s="8">
        <v>66300</v>
      </c>
      <c r="I111" s="8">
        <v>66279.45</v>
      </c>
      <c r="J111" s="8">
        <v>99053.92</v>
      </c>
      <c r="K111" s="8">
        <v>2000</v>
      </c>
      <c r="L111" s="8" t="str">
        <f t="shared" si="81"/>
        <v>人民币</v>
      </c>
      <c r="M111" s="8" t="str">
        <f>"1361003470"</f>
        <v>1361003470</v>
      </c>
      <c r="N111" s="8" t="str">
        <f>"A368402599"</f>
        <v>A368402599</v>
      </c>
      <c r="O111" s="8" t="str">
        <f t="shared" si="82"/>
        <v>300100052893</v>
      </c>
    </row>
    <row r="112" spans="1:15">
      <c r="A112" s="8" t="str">
        <f>"20150924"</f>
        <v>20150924</v>
      </c>
      <c r="B112" s="8" t="str">
        <f>"20150924"</f>
        <v>20150924</v>
      </c>
      <c r="C112" s="8" t="str">
        <f>"证券转银行"</f>
        <v>证券转银行</v>
      </c>
      <c r="F112" s="8">
        <v>0</v>
      </c>
      <c r="G112" s="8">
        <v>0</v>
      </c>
      <c r="H112" s="8">
        <v>0</v>
      </c>
      <c r="I112" s="8">
        <v>-90000</v>
      </c>
      <c r="J112" s="8">
        <v>9053.92</v>
      </c>
      <c r="K112" s="8">
        <v>0</v>
      </c>
      <c r="L112" s="8" t="str">
        <f t="shared" si="81"/>
        <v>人民币</v>
      </c>
      <c r="O112" s="8" t="str">
        <f t="shared" si="82"/>
        <v>300100052893</v>
      </c>
    </row>
    <row r="113" spans="1:15">
      <c r="A113" s="8" t="str">
        <f>"20150930"</f>
        <v>20150930</v>
      </c>
      <c r="B113" s="8" t="str">
        <f>"20150930"</f>
        <v>20150930</v>
      </c>
      <c r="C113" s="8" t="str">
        <f>"证券买入"</f>
        <v>证券买入</v>
      </c>
      <c r="D113" s="8" t="str">
        <f>"510300"</f>
        <v>510300</v>
      </c>
      <c r="E113" s="8" t="str">
        <f>"300ETF"</f>
        <v>300ETF</v>
      </c>
      <c r="F113" s="8">
        <v>3.225</v>
      </c>
      <c r="G113" s="8">
        <v>2500</v>
      </c>
      <c r="H113" s="8">
        <v>8062.5</v>
      </c>
      <c r="I113" s="8">
        <v>-8067.5</v>
      </c>
      <c r="J113" s="8">
        <v>986.42</v>
      </c>
      <c r="K113" s="8">
        <v>4500</v>
      </c>
      <c r="L113" s="8" t="str">
        <f t="shared" si="81"/>
        <v>人民币</v>
      </c>
      <c r="M113" s="8" t="str">
        <f>"1361001930"</f>
        <v>1361001930</v>
      </c>
      <c r="N113" s="8" t="str">
        <f>"A368402599"</f>
        <v>A368402599</v>
      </c>
      <c r="O113" s="8" t="str">
        <f t="shared" si="82"/>
        <v>300100052893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I25" sqref="I25"/>
    </sheetView>
  </sheetViews>
  <sheetFormatPr defaultColWidth="9" defaultRowHeight="13.5"/>
  <cols>
    <col min="1" max="16384" width="9" style="8"/>
  </cols>
  <sheetData>
    <row r="1" spans="1:15">
      <c r="A1" s="8" t="str">
        <f>"成交日期"</f>
        <v>成交日期</v>
      </c>
      <c r="B1" s="8" t="str">
        <f>"委托日期"</f>
        <v>委托日期</v>
      </c>
      <c r="C1" s="8" t="str">
        <f>"业务类型"</f>
        <v>业务类型</v>
      </c>
      <c r="D1" s="8" t="str">
        <f>"证券代码"</f>
        <v>证券代码</v>
      </c>
      <c r="E1" s="8" t="str">
        <f>"证券名称"</f>
        <v>证券名称</v>
      </c>
      <c r="F1" s="8" t="str">
        <f>"成交价格"</f>
        <v>成交价格</v>
      </c>
      <c r="G1" s="8" t="str">
        <f>"成交数量"</f>
        <v>成交数量</v>
      </c>
      <c r="H1" s="8" t="str">
        <f>"成交金额"</f>
        <v>成交金额</v>
      </c>
      <c r="I1" s="8" t="str">
        <f>"发生金额"</f>
        <v>发生金额</v>
      </c>
      <c r="J1" s="8" t="str">
        <f>"资金余额"</f>
        <v>资金余额</v>
      </c>
      <c r="K1" s="8" t="str">
        <f>"当前持仓"</f>
        <v>当前持仓</v>
      </c>
      <c r="L1" s="8" t="str">
        <f>"币种"</f>
        <v>币种</v>
      </c>
      <c r="M1" s="8" t="str">
        <f>"协议编号"</f>
        <v>协议编号</v>
      </c>
      <c r="N1" s="8" t="str">
        <f>"股东代码"</f>
        <v>股东代码</v>
      </c>
      <c r="O1" s="8" t="str">
        <f>"产品账号"</f>
        <v>产品账号</v>
      </c>
    </row>
    <row r="2" spans="1:15">
      <c r="A2" s="8" t="str">
        <f>"20151008"</f>
        <v>20151008</v>
      </c>
      <c r="B2" s="8" t="str">
        <f>"20151008"</f>
        <v>20151008</v>
      </c>
      <c r="C2" s="8" t="str">
        <f t="shared" ref="C2:C6" si="0">"证券卖出"</f>
        <v>证券卖出</v>
      </c>
      <c r="D2" s="8" t="str">
        <f>"510300"</f>
        <v>510300</v>
      </c>
      <c r="E2" s="8" t="str">
        <f>"300ETF"</f>
        <v>300ETF</v>
      </c>
      <c r="F2" s="8">
        <v>3.34</v>
      </c>
      <c r="G2" s="8">
        <v>2000</v>
      </c>
      <c r="H2" s="8">
        <v>6680</v>
      </c>
      <c r="I2" s="8">
        <v>6675</v>
      </c>
      <c r="J2" s="8">
        <v>7661.42</v>
      </c>
      <c r="K2" s="8">
        <v>2500</v>
      </c>
      <c r="L2" s="8" t="str">
        <f t="shared" ref="L2:L10" si="1">"人民币"</f>
        <v>人民币</v>
      </c>
      <c r="M2" s="8" t="str">
        <f>"1361001061"</f>
        <v>1361001061</v>
      </c>
      <c r="N2" s="8" t="str">
        <f>"A368402599"</f>
        <v>A368402599</v>
      </c>
      <c r="O2" s="8" t="str">
        <f t="shared" ref="O2:O10" si="2">"300100052893"</f>
        <v>300100052893</v>
      </c>
    </row>
    <row r="3" spans="1:15">
      <c r="A3" s="8" t="str">
        <f>"20151012"</f>
        <v>20151012</v>
      </c>
      <c r="B3" s="8" t="str">
        <f>"20151012"</f>
        <v>20151012</v>
      </c>
      <c r="C3" s="8" t="str">
        <f t="shared" si="0"/>
        <v>证券卖出</v>
      </c>
      <c r="D3" s="8" t="str">
        <f>"510300"</f>
        <v>510300</v>
      </c>
      <c r="E3" s="8" t="str">
        <f>"300ETF"</f>
        <v>300ETF</v>
      </c>
      <c r="F3" s="8">
        <v>3.441</v>
      </c>
      <c r="G3" s="8">
        <v>500</v>
      </c>
      <c r="H3" s="8">
        <v>1720.5</v>
      </c>
      <c r="I3" s="8">
        <v>1715.5</v>
      </c>
      <c r="J3" s="8">
        <v>9376.92</v>
      </c>
      <c r="K3" s="8">
        <v>2000</v>
      </c>
      <c r="L3" s="8" t="str">
        <f t="shared" si="1"/>
        <v>人民币</v>
      </c>
      <c r="M3" s="8" t="str">
        <f>"1361002940"</f>
        <v>1361002940</v>
      </c>
      <c r="N3" s="8" t="str">
        <f>"A368402599"</f>
        <v>A368402599</v>
      </c>
      <c r="O3" s="8" t="str">
        <f t="shared" si="2"/>
        <v>300100052893</v>
      </c>
    </row>
    <row r="4" spans="1:15">
      <c r="A4" s="8" t="str">
        <f>"20151110"</f>
        <v>20151110</v>
      </c>
      <c r="B4" s="8" t="str">
        <f>"20151110"</f>
        <v>20151110</v>
      </c>
      <c r="C4" s="8" t="str">
        <f t="shared" si="0"/>
        <v>证券卖出</v>
      </c>
      <c r="D4" s="8" t="str">
        <f t="shared" ref="D4:D6" si="3">"002197"</f>
        <v>002197</v>
      </c>
      <c r="E4" s="8" t="str">
        <f t="shared" ref="E4:E6" si="4">"证通电子"</f>
        <v>证通电子</v>
      </c>
      <c r="F4" s="8">
        <v>30</v>
      </c>
      <c r="G4" s="8">
        <v>500</v>
      </c>
      <c r="H4" s="8">
        <v>15000</v>
      </c>
      <c r="I4" s="8">
        <v>14980</v>
      </c>
      <c r="J4" s="8">
        <v>24356.92</v>
      </c>
      <c r="K4" s="8">
        <v>0</v>
      </c>
      <c r="L4" s="8" t="str">
        <f t="shared" si="1"/>
        <v>人民币</v>
      </c>
      <c r="M4" s="8" t="str">
        <f>"T4006083"</f>
        <v>T4006083</v>
      </c>
      <c r="N4" s="8" t="str">
        <f t="shared" ref="N4:N9" si="5">"0149593788"</f>
        <v>0149593788</v>
      </c>
      <c r="O4" s="8" t="str">
        <f t="shared" si="2"/>
        <v>300100052893</v>
      </c>
    </row>
    <row r="5" spans="1:15">
      <c r="A5" s="8" t="str">
        <f>"20151209"</f>
        <v>20151209</v>
      </c>
      <c r="B5" s="8" t="str">
        <f>"20151209"</f>
        <v>20151209</v>
      </c>
      <c r="C5" s="8" t="str">
        <f>"证券买入"</f>
        <v>证券买入</v>
      </c>
      <c r="D5" s="8" t="str">
        <f t="shared" si="3"/>
        <v>002197</v>
      </c>
      <c r="E5" s="8" t="str">
        <f t="shared" si="4"/>
        <v>证通电子</v>
      </c>
      <c r="F5" s="8">
        <v>24.08</v>
      </c>
      <c r="G5" s="8">
        <v>500</v>
      </c>
      <c r="H5" s="8">
        <v>12040</v>
      </c>
      <c r="I5" s="8">
        <v>-12045</v>
      </c>
      <c r="J5" s="8">
        <v>12311.92</v>
      </c>
      <c r="K5" s="8">
        <v>500</v>
      </c>
      <c r="L5" s="8" t="str">
        <f t="shared" si="1"/>
        <v>人民币</v>
      </c>
      <c r="M5" s="8" t="str">
        <f>"T4009847"</f>
        <v>T4009847</v>
      </c>
      <c r="N5" s="8" t="str">
        <f t="shared" si="5"/>
        <v>0149593788</v>
      </c>
      <c r="O5" s="8" t="str">
        <f t="shared" si="2"/>
        <v>300100052893</v>
      </c>
    </row>
    <row r="6" spans="1:15">
      <c r="A6" s="8" t="str">
        <f>"20151210"</f>
        <v>20151210</v>
      </c>
      <c r="B6" s="8" t="str">
        <f>"20151210"</f>
        <v>20151210</v>
      </c>
      <c r="C6" s="8" t="str">
        <f t="shared" si="0"/>
        <v>证券卖出</v>
      </c>
      <c r="D6" s="8" t="str">
        <f t="shared" si="3"/>
        <v>002197</v>
      </c>
      <c r="E6" s="8" t="str">
        <f t="shared" si="4"/>
        <v>证通电子</v>
      </c>
      <c r="F6" s="8">
        <v>25.04</v>
      </c>
      <c r="G6" s="8">
        <v>500</v>
      </c>
      <c r="H6" s="8">
        <v>12520</v>
      </c>
      <c r="I6" s="8">
        <v>12502.48</v>
      </c>
      <c r="J6" s="8">
        <v>24814.4</v>
      </c>
      <c r="K6" s="8">
        <v>0</v>
      </c>
      <c r="L6" s="8" t="str">
        <f t="shared" si="1"/>
        <v>人民币</v>
      </c>
      <c r="M6" s="8" t="str">
        <f>"T4003474"</f>
        <v>T4003474</v>
      </c>
      <c r="N6" s="8" t="str">
        <f t="shared" si="5"/>
        <v>0149593788</v>
      </c>
      <c r="O6" s="8" t="str">
        <f t="shared" si="2"/>
        <v>300100052893</v>
      </c>
    </row>
    <row r="7" spans="1:15">
      <c r="A7" s="8" t="str">
        <f>"20151216"</f>
        <v>20151216</v>
      </c>
      <c r="B7" s="8" t="str">
        <f t="shared" ref="B7:B9" si="6">"20151216"</f>
        <v>20151216</v>
      </c>
      <c r="C7" s="8" t="str">
        <f>"开放基金合并减股"</f>
        <v>开放基金合并减股</v>
      </c>
      <c r="D7" s="8" t="str">
        <f>"161024"</f>
        <v>161024</v>
      </c>
      <c r="E7" s="8" t="str">
        <f>"军工分级"</f>
        <v>军工分级</v>
      </c>
      <c r="F7" s="8">
        <v>0</v>
      </c>
      <c r="G7" s="8">
        <v>3219</v>
      </c>
      <c r="H7" s="8">
        <v>0</v>
      </c>
      <c r="I7" s="8">
        <v>0</v>
      </c>
      <c r="J7" s="8">
        <v>24814.4</v>
      </c>
      <c r="K7" s="8">
        <v>0</v>
      </c>
      <c r="L7" s="8" t="str">
        <f t="shared" si="1"/>
        <v>人民币</v>
      </c>
      <c r="N7" s="8" t="str">
        <f t="shared" si="5"/>
        <v>0149593788</v>
      </c>
      <c r="O7" s="8" t="str">
        <f t="shared" si="2"/>
        <v>300100052893</v>
      </c>
    </row>
    <row r="8" spans="1:15">
      <c r="A8" s="8" t="str">
        <f>"20151216"</f>
        <v>20151216</v>
      </c>
      <c r="B8" s="8" t="str">
        <f t="shared" si="6"/>
        <v>20151216</v>
      </c>
      <c r="C8" s="8" t="str">
        <f>"开放基金拆分增股"</f>
        <v>开放基金拆分增股</v>
      </c>
      <c r="D8" s="8" t="str">
        <f>"161024"</f>
        <v>161024</v>
      </c>
      <c r="E8" s="8" t="str">
        <f>"军工分级"</f>
        <v>军工分级</v>
      </c>
      <c r="F8" s="8">
        <v>0</v>
      </c>
      <c r="G8" s="8">
        <v>3285</v>
      </c>
      <c r="H8" s="8">
        <v>0</v>
      </c>
      <c r="I8" s="8">
        <v>0</v>
      </c>
      <c r="J8" s="8">
        <v>24814.4</v>
      </c>
      <c r="K8" s="8">
        <v>3285</v>
      </c>
      <c r="L8" s="8" t="str">
        <f t="shared" si="1"/>
        <v>人民币</v>
      </c>
      <c r="N8" s="8" t="str">
        <f t="shared" si="5"/>
        <v>0149593788</v>
      </c>
      <c r="O8" s="8" t="str">
        <f t="shared" si="2"/>
        <v>300100052893</v>
      </c>
    </row>
    <row r="9" spans="1:15">
      <c r="A9" s="8" t="str">
        <f>"20151218"</f>
        <v>20151218</v>
      </c>
      <c r="B9" s="8" t="str">
        <f t="shared" si="6"/>
        <v>20151216</v>
      </c>
      <c r="C9" s="8" t="str">
        <f>"开放基金申购"</f>
        <v>开放基金申购</v>
      </c>
      <c r="D9" s="8" t="str">
        <f>"162411"</f>
        <v>162411</v>
      </c>
      <c r="E9" s="8" t="str">
        <f>"华宝油气"</f>
        <v>华宝油气</v>
      </c>
      <c r="F9" s="8">
        <v>0.499</v>
      </c>
      <c r="G9" s="8">
        <v>9871</v>
      </c>
      <c r="H9" s="8">
        <v>4925.63</v>
      </c>
      <c r="I9" s="8">
        <v>-4999.52</v>
      </c>
      <c r="J9" s="8">
        <v>19814.88</v>
      </c>
      <c r="K9" s="8">
        <v>9871</v>
      </c>
      <c r="L9" s="8" t="str">
        <f t="shared" si="1"/>
        <v>人民币</v>
      </c>
      <c r="M9" s="8" t="str">
        <f>"T4005925"</f>
        <v>T4005925</v>
      </c>
      <c r="N9" s="8" t="str">
        <f t="shared" si="5"/>
        <v>0149593788</v>
      </c>
      <c r="O9" s="8" t="str">
        <f t="shared" si="2"/>
        <v>300100052893</v>
      </c>
    </row>
    <row r="10" spans="1:15">
      <c r="A10" s="8" t="str">
        <f>"20151221"</f>
        <v>20151221</v>
      </c>
      <c r="B10" s="8" t="str">
        <f>"20151221"</f>
        <v>20151221</v>
      </c>
      <c r="C10" s="8" t="str">
        <f>"利息归本"</f>
        <v>利息归本</v>
      </c>
      <c r="F10" s="8">
        <v>0</v>
      </c>
      <c r="G10" s="8">
        <v>0</v>
      </c>
      <c r="H10" s="8">
        <v>0</v>
      </c>
      <c r="I10" s="8">
        <v>14.45</v>
      </c>
      <c r="J10" s="8">
        <v>19829.33</v>
      </c>
      <c r="K10" s="8">
        <v>0</v>
      </c>
      <c r="L10" s="8" t="str">
        <f t="shared" si="1"/>
        <v>人民币</v>
      </c>
      <c r="O10" s="8" t="str">
        <f t="shared" si="2"/>
        <v>300100052893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opLeftCell="A3" workbookViewId="0">
      <selection activeCell="K27" sqref="K27"/>
    </sheetView>
  </sheetViews>
  <sheetFormatPr defaultColWidth="9" defaultRowHeight="13.5"/>
  <cols>
    <col min="1" max="16384" width="9" style="8"/>
  </cols>
  <sheetData>
    <row r="1" spans="1:15">
      <c r="A1" s="8" t="str">
        <f>"成交日期"</f>
        <v>成交日期</v>
      </c>
      <c r="B1" s="8" t="str">
        <f>"委托日期"</f>
        <v>委托日期</v>
      </c>
      <c r="C1" s="8" t="str">
        <f>"业务类型"</f>
        <v>业务类型</v>
      </c>
      <c r="D1" s="8" t="str">
        <f>"证券代码"</f>
        <v>证券代码</v>
      </c>
      <c r="E1" s="8" t="str">
        <f>"证券名称"</f>
        <v>证券名称</v>
      </c>
      <c r="F1" s="8" t="str">
        <f>"成交价格"</f>
        <v>成交价格</v>
      </c>
      <c r="G1" s="8" t="str">
        <f>"成交数量"</f>
        <v>成交数量</v>
      </c>
      <c r="H1" s="8" t="str">
        <f>"成交金额"</f>
        <v>成交金额</v>
      </c>
      <c r="I1" s="8" t="str">
        <f>"发生金额"</f>
        <v>发生金额</v>
      </c>
      <c r="J1" s="8" t="str">
        <f>"资金余额"</f>
        <v>资金余额</v>
      </c>
      <c r="K1" s="8" t="str">
        <f>"当前持仓"</f>
        <v>当前持仓</v>
      </c>
      <c r="L1" s="8" t="str">
        <f>"币种"</f>
        <v>币种</v>
      </c>
      <c r="M1" s="8" t="str">
        <f>"协议编号"</f>
        <v>协议编号</v>
      </c>
      <c r="N1" s="8" t="str">
        <f>"股东代码"</f>
        <v>股东代码</v>
      </c>
      <c r="O1" s="8" t="str">
        <f>"产品账号"</f>
        <v>产品账号</v>
      </c>
    </row>
    <row r="2" spans="1:15">
      <c r="A2" s="8" t="str">
        <f>"20160104"</f>
        <v>20160104</v>
      </c>
      <c r="B2" s="8" t="str">
        <f>"20160104"</f>
        <v>20160104</v>
      </c>
      <c r="C2" s="8" t="str">
        <f t="shared" ref="C2:C7" si="0">"证券买入"</f>
        <v>证券买入</v>
      </c>
      <c r="D2" s="8" t="str">
        <f>"511990"</f>
        <v>511990</v>
      </c>
      <c r="E2" s="8" t="str">
        <f>"华宝添益"</f>
        <v>华宝添益</v>
      </c>
      <c r="F2" s="8">
        <v>99.981</v>
      </c>
      <c r="G2" s="8">
        <v>100</v>
      </c>
      <c r="H2" s="8">
        <v>9998.1</v>
      </c>
      <c r="I2" s="8">
        <v>-9998.1</v>
      </c>
      <c r="J2" s="8">
        <v>9831.23</v>
      </c>
      <c r="K2" s="8">
        <v>100</v>
      </c>
      <c r="L2" s="8" t="str">
        <f t="shared" ref="L2:L27" si="1">"人民币"</f>
        <v>人民币</v>
      </c>
      <c r="M2" s="8" t="str">
        <f>"1361005848"</f>
        <v>1361005848</v>
      </c>
      <c r="N2" s="8" t="str">
        <f t="shared" ref="N2:N7" si="2">"A368402599"</f>
        <v>A368402599</v>
      </c>
      <c r="O2" s="8" t="str">
        <f t="shared" ref="O2:O27" si="3">"300100052893"</f>
        <v>300100052893</v>
      </c>
    </row>
    <row r="3" spans="1:15">
      <c r="A3" s="8" t="str">
        <f>"20160105"</f>
        <v>20160105</v>
      </c>
      <c r="B3" s="8" t="str">
        <f>"20160104"</f>
        <v>20160104</v>
      </c>
      <c r="C3" s="8" t="str">
        <f>"ETF 基金赎回"</f>
        <v>ETF 基金赎回</v>
      </c>
      <c r="D3" s="8" t="str">
        <f>"511991"</f>
        <v>511991</v>
      </c>
      <c r="E3" s="8" t="str">
        <f>"添益申赎"</f>
        <v>添益申赎</v>
      </c>
      <c r="F3" s="8">
        <v>0</v>
      </c>
      <c r="G3" s="8">
        <v>100</v>
      </c>
      <c r="H3" s="8">
        <v>0</v>
      </c>
      <c r="I3" s="8">
        <v>0</v>
      </c>
      <c r="J3" s="8">
        <v>9831.23</v>
      </c>
      <c r="K3" s="8">
        <v>0</v>
      </c>
      <c r="L3" s="8" t="str">
        <f t="shared" si="1"/>
        <v>人民币</v>
      </c>
      <c r="M3" s="8" t="str">
        <f>"1361005876"</f>
        <v>1361005876</v>
      </c>
      <c r="N3" s="8" t="str">
        <f t="shared" si="2"/>
        <v>A368402599</v>
      </c>
      <c r="O3" s="8" t="str">
        <f t="shared" si="3"/>
        <v>300100052893</v>
      </c>
    </row>
    <row r="4" spans="1:15">
      <c r="A4" s="8" t="str">
        <f>"20160105"</f>
        <v>20160105</v>
      </c>
      <c r="B4" s="8" t="str">
        <f>"20160104"</f>
        <v>20160104</v>
      </c>
      <c r="C4" s="8" t="str">
        <f>"ETF 申购退款"</f>
        <v>ETF 申购退款</v>
      </c>
      <c r="D4" s="8" t="str">
        <f>"511990"</f>
        <v>511990</v>
      </c>
      <c r="E4" s="8" t="str">
        <f>"华宝添益"</f>
        <v>华宝添益</v>
      </c>
      <c r="F4" s="8">
        <v>0</v>
      </c>
      <c r="G4" s="8">
        <v>0</v>
      </c>
      <c r="H4" s="8">
        <v>10000.7</v>
      </c>
      <c r="I4" s="8">
        <v>10000.7</v>
      </c>
      <c r="J4" s="8">
        <v>19831.93</v>
      </c>
      <c r="K4" s="8">
        <v>0</v>
      </c>
      <c r="L4" s="8" t="str">
        <f t="shared" si="1"/>
        <v>人民币</v>
      </c>
      <c r="N4" s="8" t="str">
        <f t="shared" si="2"/>
        <v>A368402599</v>
      </c>
      <c r="O4" s="8" t="str">
        <f t="shared" si="3"/>
        <v>300100052893</v>
      </c>
    </row>
    <row r="5" spans="1:15">
      <c r="A5" s="8" t="str">
        <f>"20160112"</f>
        <v>20160112</v>
      </c>
      <c r="B5" s="8" t="str">
        <f>"20160112"</f>
        <v>20160112</v>
      </c>
      <c r="C5" s="8" t="str">
        <f t="shared" si="0"/>
        <v>证券买入</v>
      </c>
      <c r="D5" s="8" t="str">
        <f>"162411"</f>
        <v>162411</v>
      </c>
      <c r="E5" s="8" t="str">
        <f>"华宝油气"</f>
        <v>华宝油气</v>
      </c>
      <c r="F5" s="8">
        <v>0.453</v>
      </c>
      <c r="G5" s="8">
        <v>10000</v>
      </c>
      <c r="H5" s="8">
        <v>4530</v>
      </c>
      <c r="I5" s="8">
        <v>-4535</v>
      </c>
      <c r="J5" s="8">
        <v>15296.93</v>
      </c>
      <c r="K5" s="8">
        <v>19871</v>
      </c>
      <c r="L5" s="8" t="str">
        <f t="shared" si="1"/>
        <v>人民币</v>
      </c>
      <c r="M5" s="8" t="str">
        <f>"T4004647"</f>
        <v>T4004647</v>
      </c>
      <c r="N5" s="8" t="str">
        <f t="shared" ref="N5:N9" si="4">"0149593788"</f>
        <v>0149593788</v>
      </c>
      <c r="O5" s="8" t="str">
        <f t="shared" si="3"/>
        <v>300100052893</v>
      </c>
    </row>
    <row r="6" spans="1:15">
      <c r="A6" s="8" t="str">
        <f>"20160122"</f>
        <v>20160122</v>
      </c>
      <c r="B6" s="8" t="str">
        <f>"20160122"</f>
        <v>20160122</v>
      </c>
      <c r="C6" s="8" t="str">
        <f>"红利入账"</f>
        <v>红利入账</v>
      </c>
      <c r="D6" s="8" t="str">
        <f t="shared" ref="D6:D12" si="5">"510300"</f>
        <v>510300</v>
      </c>
      <c r="E6" s="8" t="str">
        <f t="shared" ref="E6:E12" si="6">"300ETF"</f>
        <v>300ETF</v>
      </c>
      <c r="F6" s="8">
        <v>0</v>
      </c>
      <c r="G6" s="8">
        <v>2000</v>
      </c>
      <c r="H6" s="8">
        <v>102</v>
      </c>
      <c r="I6" s="8">
        <v>102</v>
      </c>
      <c r="J6" s="8">
        <v>15398.93</v>
      </c>
      <c r="K6" s="8">
        <v>0</v>
      </c>
      <c r="L6" s="8" t="str">
        <f t="shared" si="1"/>
        <v>人民币</v>
      </c>
      <c r="N6" s="8" t="str">
        <f t="shared" si="2"/>
        <v>A368402599</v>
      </c>
      <c r="O6" s="8" t="str">
        <f t="shared" si="3"/>
        <v>300100052893</v>
      </c>
    </row>
    <row r="7" spans="1:15">
      <c r="A7" s="8" t="str">
        <f>"20160127"</f>
        <v>20160127</v>
      </c>
      <c r="B7" s="8" t="str">
        <f>"20160127"</f>
        <v>20160127</v>
      </c>
      <c r="C7" s="8" t="str">
        <f t="shared" si="0"/>
        <v>证券买入</v>
      </c>
      <c r="D7" s="8" t="str">
        <f t="shared" si="5"/>
        <v>510300</v>
      </c>
      <c r="E7" s="8" t="str">
        <f t="shared" si="6"/>
        <v>300ETF</v>
      </c>
      <c r="F7" s="8">
        <v>2.923</v>
      </c>
      <c r="G7" s="8">
        <v>2000</v>
      </c>
      <c r="H7" s="8">
        <v>5846</v>
      </c>
      <c r="I7" s="8">
        <v>-5851</v>
      </c>
      <c r="J7" s="8">
        <v>9547.93</v>
      </c>
      <c r="K7" s="8">
        <v>4000</v>
      </c>
      <c r="L7" s="8" t="str">
        <f t="shared" si="1"/>
        <v>人民币</v>
      </c>
      <c r="M7" s="8" t="str">
        <f>"1361004270"</f>
        <v>1361004270</v>
      </c>
      <c r="N7" s="8" t="str">
        <f t="shared" si="2"/>
        <v>A368402599</v>
      </c>
      <c r="O7" s="8" t="str">
        <f t="shared" si="3"/>
        <v>300100052893</v>
      </c>
    </row>
    <row r="8" spans="1:15">
      <c r="A8" s="8" t="str">
        <f>"20160201"</f>
        <v>20160201</v>
      </c>
      <c r="B8" s="8" t="str">
        <f>"20160201"</f>
        <v>20160201</v>
      </c>
      <c r="C8" s="8" t="str">
        <f>"基金下折"</f>
        <v>基金下折</v>
      </c>
      <c r="D8" s="8" t="str">
        <f>"161024"</f>
        <v>161024</v>
      </c>
      <c r="E8" s="8" t="str">
        <f>"军工分级"</f>
        <v>军工分级</v>
      </c>
      <c r="F8" s="8">
        <v>0</v>
      </c>
      <c r="G8" s="8">
        <v>3285</v>
      </c>
      <c r="H8" s="8">
        <v>0</v>
      </c>
      <c r="I8" s="8">
        <v>0</v>
      </c>
      <c r="J8" s="8">
        <v>9547.93</v>
      </c>
      <c r="K8" s="8">
        <v>0</v>
      </c>
      <c r="L8" s="8" t="str">
        <f t="shared" si="1"/>
        <v>人民币</v>
      </c>
      <c r="N8" s="8" t="str">
        <f t="shared" si="4"/>
        <v>0149593788</v>
      </c>
      <c r="O8" s="8" t="str">
        <f t="shared" si="3"/>
        <v>300100052893</v>
      </c>
    </row>
    <row r="9" spans="1:15">
      <c r="A9" s="8" t="str">
        <f>"20160201"</f>
        <v>20160201</v>
      </c>
      <c r="B9" s="8" t="str">
        <f>"20160201"</f>
        <v>20160201</v>
      </c>
      <c r="C9" s="8" t="str">
        <f>"基金上折"</f>
        <v>基金上折</v>
      </c>
      <c r="D9" s="8" t="str">
        <f>"161024"</f>
        <v>161024</v>
      </c>
      <c r="E9" s="8" t="str">
        <f>"军工分级"</f>
        <v>军工分级</v>
      </c>
      <c r="F9" s="8">
        <v>0</v>
      </c>
      <c r="G9" s="8">
        <v>2082</v>
      </c>
      <c r="H9" s="8">
        <v>0</v>
      </c>
      <c r="I9" s="8">
        <v>0</v>
      </c>
      <c r="J9" s="8">
        <v>9547.93</v>
      </c>
      <c r="K9" s="8">
        <v>2082</v>
      </c>
      <c r="L9" s="8" t="str">
        <f t="shared" si="1"/>
        <v>人民币</v>
      </c>
      <c r="N9" s="8" t="str">
        <f t="shared" si="4"/>
        <v>0149593788</v>
      </c>
      <c r="O9" s="8" t="str">
        <f t="shared" si="3"/>
        <v>300100052893</v>
      </c>
    </row>
    <row r="10" spans="1:15">
      <c r="A10" s="8" t="str">
        <f>"20160204"</f>
        <v>20160204</v>
      </c>
      <c r="B10" s="8" t="str">
        <f>"20160204"</f>
        <v>20160204</v>
      </c>
      <c r="C10" s="8" t="str">
        <f t="shared" ref="C10:C16" si="7">"证券买入"</f>
        <v>证券买入</v>
      </c>
      <c r="D10" s="8" t="str">
        <f>"600219"</f>
        <v>600219</v>
      </c>
      <c r="E10" s="8" t="str">
        <f>"南山铝业"</f>
        <v>南山铝业</v>
      </c>
      <c r="F10" s="8">
        <v>5.89</v>
      </c>
      <c r="G10" s="8">
        <v>1500</v>
      </c>
      <c r="H10" s="8">
        <v>8835</v>
      </c>
      <c r="I10" s="8">
        <v>-8840.18</v>
      </c>
      <c r="J10" s="8">
        <v>707.75</v>
      </c>
      <c r="K10" s="8">
        <v>8500</v>
      </c>
      <c r="L10" s="8" t="str">
        <f t="shared" si="1"/>
        <v>人民币</v>
      </c>
      <c r="M10" s="8" t="str">
        <f>"1361000779"</f>
        <v>1361000779</v>
      </c>
      <c r="N10" s="8" t="str">
        <f t="shared" ref="N10:N26" si="8">"A368402599"</f>
        <v>A368402599</v>
      </c>
      <c r="O10" s="8" t="str">
        <f t="shared" si="3"/>
        <v>300100052893</v>
      </c>
    </row>
    <row r="11" spans="1:15">
      <c r="A11" s="8" t="str">
        <f>"20160225"</f>
        <v>20160225</v>
      </c>
      <c r="B11" s="8" t="str">
        <f>"20160225"</f>
        <v>20160225</v>
      </c>
      <c r="C11" s="8" t="str">
        <f t="shared" ref="C11:C14" si="9">"证券卖出"</f>
        <v>证券卖出</v>
      </c>
      <c r="D11" s="8" t="str">
        <f t="shared" si="5"/>
        <v>510300</v>
      </c>
      <c r="E11" s="8" t="str">
        <f t="shared" si="6"/>
        <v>300ETF</v>
      </c>
      <c r="F11" s="8">
        <v>3.063</v>
      </c>
      <c r="G11" s="8">
        <v>2000</v>
      </c>
      <c r="H11" s="8">
        <v>6126</v>
      </c>
      <c r="I11" s="8">
        <v>6121</v>
      </c>
      <c r="J11" s="8">
        <v>6828.75</v>
      </c>
      <c r="K11" s="8">
        <v>2000</v>
      </c>
      <c r="L11" s="8" t="str">
        <f t="shared" si="1"/>
        <v>人民币</v>
      </c>
      <c r="M11" s="8" t="str">
        <f>"1361001815"</f>
        <v>1361001815</v>
      </c>
      <c r="N11" s="8" t="str">
        <f t="shared" si="8"/>
        <v>A368402599</v>
      </c>
      <c r="O11" s="8" t="str">
        <f t="shared" si="3"/>
        <v>300100052893</v>
      </c>
    </row>
    <row r="12" spans="1:15">
      <c r="A12" s="8" t="str">
        <f>"20160226"</f>
        <v>20160226</v>
      </c>
      <c r="B12" s="8" t="str">
        <f>"20160226"</f>
        <v>20160226</v>
      </c>
      <c r="C12" s="8" t="str">
        <f t="shared" si="7"/>
        <v>证券买入</v>
      </c>
      <c r="D12" s="8" t="str">
        <f t="shared" si="5"/>
        <v>510300</v>
      </c>
      <c r="E12" s="8" t="str">
        <f t="shared" si="6"/>
        <v>300ETF</v>
      </c>
      <c r="F12" s="8">
        <v>2.933</v>
      </c>
      <c r="G12" s="8">
        <v>2000</v>
      </c>
      <c r="H12" s="8">
        <v>5866</v>
      </c>
      <c r="I12" s="8">
        <v>-5871</v>
      </c>
      <c r="J12" s="8">
        <v>957.75</v>
      </c>
      <c r="K12" s="8">
        <v>4000</v>
      </c>
      <c r="L12" s="8" t="str">
        <f t="shared" si="1"/>
        <v>人民币</v>
      </c>
      <c r="M12" s="8" t="str">
        <f>"1361002042"</f>
        <v>1361002042</v>
      </c>
      <c r="N12" s="8" t="str">
        <f t="shared" si="8"/>
        <v>A368402599</v>
      </c>
      <c r="O12" s="8" t="str">
        <f t="shared" si="3"/>
        <v>300100052893</v>
      </c>
    </row>
    <row r="13" spans="1:15">
      <c r="A13" s="8" t="str">
        <f>"20160303"</f>
        <v>20160303</v>
      </c>
      <c r="B13" s="8" t="str">
        <f>"20160303"</f>
        <v>20160303</v>
      </c>
      <c r="C13" s="8" t="str">
        <f t="shared" si="9"/>
        <v>证券卖出</v>
      </c>
      <c r="D13" s="8" t="str">
        <f t="shared" ref="D13:D18" si="10">"600219"</f>
        <v>600219</v>
      </c>
      <c r="E13" s="8" t="str">
        <f t="shared" ref="E13:E18" si="11">"南山铝业"</f>
        <v>南山铝业</v>
      </c>
      <c r="F13" s="8">
        <v>7.59</v>
      </c>
      <c r="G13" s="8">
        <v>1500</v>
      </c>
      <c r="H13" s="8">
        <v>11385</v>
      </c>
      <c r="I13" s="8">
        <v>11368.35</v>
      </c>
      <c r="J13" s="8">
        <v>12326.1</v>
      </c>
      <c r="K13" s="8">
        <v>7000</v>
      </c>
      <c r="L13" s="8" t="str">
        <f t="shared" si="1"/>
        <v>人民币</v>
      </c>
      <c r="M13" s="8" t="str">
        <f>"1361004862"</f>
        <v>1361004862</v>
      </c>
      <c r="N13" s="8" t="str">
        <f t="shared" si="8"/>
        <v>A368402599</v>
      </c>
      <c r="O13" s="8" t="str">
        <f t="shared" si="3"/>
        <v>300100052893</v>
      </c>
    </row>
    <row r="14" spans="1:15">
      <c r="A14" s="8" t="str">
        <f>"20160303"</f>
        <v>20160303</v>
      </c>
      <c r="B14" s="8" t="str">
        <f>"20160303"</f>
        <v>20160303</v>
      </c>
      <c r="C14" s="8" t="str">
        <f t="shared" si="9"/>
        <v>证券卖出</v>
      </c>
      <c r="D14" s="8" t="str">
        <f t="shared" ref="D14:D19" si="12">"510300"</f>
        <v>510300</v>
      </c>
      <c r="E14" s="8" t="str">
        <f t="shared" ref="E14:E19" si="13">"300ETF"</f>
        <v>300ETF</v>
      </c>
      <c r="F14" s="8">
        <v>3.042</v>
      </c>
      <c r="G14" s="8">
        <v>2000</v>
      </c>
      <c r="H14" s="8">
        <v>6084</v>
      </c>
      <c r="I14" s="8">
        <v>6079</v>
      </c>
      <c r="J14" s="8">
        <v>18405.1</v>
      </c>
      <c r="K14" s="8">
        <v>2000</v>
      </c>
      <c r="L14" s="8" t="str">
        <f t="shared" si="1"/>
        <v>人民币</v>
      </c>
      <c r="M14" s="8" t="str">
        <f>"1361006287"</f>
        <v>1361006287</v>
      </c>
      <c r="N14" s="8" t="str">
        <f t="shared" si="8"/>
        <v>A368402599</v>
      </c>
      <c r="O14" s="8" t="str">
        <f t="shared" si="3"/>
        <v>300100052893</v>
      </c>
    </row>
    <row r="15" spans="1:15">
      <c r="A15" s="8" t="str">
        <f t="shared" ref="A15:A20" si="14">"20160304"</f>
        <v>20160304</v>
      </c>
      <c r="B15" s="8" t="str">
        <f t="shared" ref="B15:B20" si="15">"20160304"</f>
        <v>20160304</v>
      </c>
      <c r="C15" s="8" t="str">
        <f t="shared" si="7"/>
        <v>证券买入</v>
      </c>
      <c r="D15" s="8" t="str">
        <f t="shared" si="12"/>
        <v>510300</v>
      </c>
      <c r="E15" s="8" t="str">
        <f t="shared" si="13"/>
        <v>300ETF</v>
      </c>
      <c r="F15" s="8">
        <v>3.066</v>
      </c>
      <c r="G15" s="8">
        <v>2000</v>
      </c>
      <c r="H15" s="8">
        <v>6132</v>
      </c>
      <c r="I15" s="8">
        <v>-6137</v>
      </c>
      <c r="J15" s="8">
        <v>12268.1</v>
      </c>
      <c r="K15" s="8">
        <v>4000</v>
      </c>
      <c r="L15" s="8" t="str">
        <f t="shared" si="1"/>
        <v>人民币</v>
      </c>
      <c r="M15" s="8" t="str">
        <f>"1361002742"</f>
        <v>1361002742</v>
      </c>
      <c r="N15" s="8" t="str">
        <f t="shared" si="8"/>
        <v>A368402599</v>
      </c>
      <c r="O15" s="8" t="str">
        <f t="shared" si="3"/>
        <v>300100052893</v>
      </c>
    </row>
    <row r="16" spans="1:15">
      <c r="A16" s="8" t="str">
        <f t="shared" si="14"/>
        <v>20160304</v>
      </c>
      <c r="B16" s="8" t="str">
        <f t="shared" si="15"/>
        <v>20160304</v>
      </c>
      <c r="C16" s="8" t="str">
        <f t="shared" si="7"/>
        <v>证券买入</v>
      </c>
      <c r="D16" s="8" t="str">
        <f t="shared" si="10"/>
        <v>600219</v>
      </c>
      <c r="E16" s="8" t="str">
        <f t="shared" si="11"/>
        <v>南山铝业</v>
      </c>
      <c r="F16" s="8">
        <v>7.31</v>
      </c>
      <c r="G16" s="8">
        <v>1500</v>
      </c>
      <c r="H16" s="8">
        <v>10965</v>
      </c>
      <c r="I16" s="8">
        <v>-10970.22</v>
      </c>
      <c r="J16" s="8">
        <v>1297.88</v>
      </c>
      <c r="K16" s="8">
        <v>8500</v>
      </c>
      <c r="L16" s="8" t="str">
        <f t="shared" si="1"/>
        <v>人民币</v>
      </c>
      <c r="M16" s="8" t="str">
        <f>"1361002751"</f>
        <v>1361002751</v>
      </c>
      <c r="N16" s="8" t="str">
        <f t="shared" si="8"/>
        <v>A368402599</v>
      </c>
      <c r="O16" s="8" t="str">
        <f t="shared" si="3"/>
        <v>300100052893</v>
      </c>
    </row>
    <row r="17" spans="1:15">
      <c r="A17" s="8" t="str">
        <f t="shared" si="14"/>
        <v>20160304</v>
      </c>
      <c r="B17" s="8" t="str">
        <f t="shared" si="15"/>
        <v>20160304</v>
      </c>
      <c r="C17" s="8" t="str">
        <f t="shared" ref="C17:C21" si="16">"证券卖出"</f>
        <v>证券卖出</v>
      </c>
      <c r="D17" s="8" t="str">
        <f t="shared" si="10"/>
        <v>600219</v>
      </c>
      <c r="E17" s="8" t="str">
        <f t="shared" si="11"/>
        <v>南山铝业</v>
      </c>
      <c r="F17" s="8">
        <v>7.26</v>
      </c>
      <c r="G17" s="8">
        <v>1500</v>
      </c>
      <c r="H17" s="8">
        <v>10890</v>
      </c>
      <c r="I17" s="8">
        <v>10873.89</v>
      </c>
      <c r="J17" s="8">
        <v>12171.77</v>
      </c>
      <c r="K17" s="8">
        <v>7000</v>
      </c>
      <c r="L17" s="8" t="str">
        <f t="shared" si="1"/>
        <v>人民币</v>
      </c>
      <c r="M17" s="8" t="str">
        <f>"1361002859"</f>
        <v>1361002859</v>
      </c>
      <c r="N17" s="8" t="str">
        <f t="shared" si="8"/>
        <v>A368402599</v>
      </c>
      <c r="O17" s="8" t="str">
        <f t="shared" si="3"/>
        <v>300100052893</v>
      </c>
    </row>
    <row r="18" spans="1:15">
      <c r="A18" s="8" t="str">
        <f t="shared" si="14"/>
        <v>20160304</v>
      </c>
      <c r="B18" s="8" t="str">
        <f t="shared" si="15"/>
        <v>20160304</v>
      </c>
      <c r="C18" s="8" t="str">
        <f>"证券买入"</f>
        <v>证券买入</v>
      </c>
      <c r="D18" s="8" t="str">
        <f t="shared" si="10"/>
        <v>600219</v>
      </c>
      <c r="E18" s="8" t="str">
        <f t="shared" si="11"/>
        <v>南山铝业</v>
      </c>
      <c r="F18" s="8">
        <v>7.13</v>
      </c>
      <c r="G18" s="8">
        <v>1500</v>
      </c>
      <c r="H18" s="8">
        <v>10695</v>
      </c>
      <c r="I18" s="8">
        <v>-10700.21</v>
      </c>
      <c r="J18" s="8">
        <v>1471.56</v>
      </c>
      <c r="K18" s="8">
        <v>8500</v>
      </c>
      <c r="L18" s="8" t="str">
        <f t="shared" si="1"/>
        <v>人民币</v>
      </c>
      <c r="M18" s="8" t="str">
        <f>"1361003479"</f>
        <v>1361003479</v>
      </c>
      <c r="N18" s="8" t="str">
        <f t="shared" si="8"/>
        <v>A368402599</v>
      </c>
      <c r="O18" s="8" t="str">
        <f t="shared" si="3"/>
        <v>300100052893</v>
      </c>
    </row>
    <row r="19" spans="1:15">
      <c r="A19" s="8" t="str">
        <f t="shared" si="14"/>
        <v>20160304</v>
      </c>
      <c r="B19" s="8" t="str">
        <f t="shared" si="15"/>
        <v>20160304</v>
      </c>
      <c r="C19" s="8" t="str">
        <f t="shared" si="16"/>
        <v>证券卖出</v>
      </c>
      <c r="D19" s="8" t="str">
        <f t="shared" si="12"/>
        <v>510300</v>
      </c>
      <c r="E19" s="8" t="str">
        <f t="shared" si="13"/>
        <v>300ETF</v>
      </c>
      <c r="F19" s="8">
        <v>3.076</v>
      </c>
      <c r="G19" s="8">
        <v>2000</v>
      </c>
      <c r="H19" s="8">
        <v>6152</v>
      </c>
      <c r="I19" s="8">
        <v>6147</v>
      </c>
      <c r="J19" s="8">
        <v>7618.56</v>
      </c>
      <c r="K19" s="8">
        <v>2000</v>
      </c>
      <c r="L19" s="8" t="str">
        <f t="shared" si="1"/>
        <v>人民币</v>
      </c>
      <c r="M19" s="8" t="str">
        <f>"1361005747"</f>
        <v>1361005747</v>
      </c>
      <c r="N19" s="8" t="str">
        <f t="shared" si="8"/>
        <v>A368402599</v>
      </c>
      <c r="O19" s="8" t="str">
        <f t="shared" si="3"/>
        <v>300100052893</v>
      </c>
    </row>
    <row r="20" spans="1:15">
      <c r="A20" s="8" t="str">
        <f t="shared" si="14"/>
        <v>20160304</v>
      </c>
      <c r="B20" s="8" t="str">
        <f t="shared" si="15"/>
        <v>20160304</v>
      </c>
      <c r="C20" s="8" t="str">
        <f t="shared" si="16"/>
        <v>证券卖出</v>
      </c>
      <c r="D20" s="8" t="str">
        <f t="shared" ref="D20:D26" si="17">"600219"</f>
        <v>600219</v>
      </c>
      <c r="E20" s="8" t="str">
        <f t="shared" ref="E20:E26" si="18">"南山铝业"</f>
        <v>南山铝业</v>
      </c>
      <c r="F20" s="8">
        <v>7.14</v>
      </c>
      <c r="G20" s="8">
        <v>1500</v>
      </c>
      <c r="H20" s="8">
        <v>10710</v>
      </c>
      <c r="I20" s="8">
        <v>10694.08</v>
      </c>
      <c r="J20" s="8">
        <v>18312.64</v>
      </c>
      <c r="K20" s="8">
        <v>7000</v>
      </c>
      <c r="L20" s="8" t="str">
        <f t="shared" si="1"/>
        <v>人民币</v>
      </c>
      <c r="M20" s="8" t="str">
        <f>"1361005817"</f>
        <v>1361005817</v>
      </c>
      <c r="N20" s="8" t="str">
        <f t="shared" si="8"/>
        <v>A368402599</v>
      </c>
      <c r="O20" s="8" t="str">
        <f t="shared" si="3"/>
        <v>300100052893</v>
      </c>
    </row>
    <row r="21" spans="1:15">
      <c r="A21" s="8" t="str">
        <f>"20160308"</f>
        <v>20160308</v>
      </c>
      <c r="B21" s="8" t="str">
        <f>"20160308"</f>
        <v>20160308</v>
      </c>
      <c r="C21" s="8" t="str">
        <f t="shared" si="16"/>
        <v>证券卖出</v>
      </c>
      <c r="D21" s="8" t="str">
        <f t="shared" si="17"/>
        <v>600219</v>
      </c>
      <c r="E21" s="8" t="str">
        <f t="shared" si="18"/>
        <v>南山铝业</v>
      </c>
      <c r="F21" s="8">
        <v>7.25</v>
      </c>
      <c r="G21" s="8">
        <v>1000</v>
      </c>
      <c r="H21" s="8">
        <v>7250</v>
      </c>
      <c r="I21" s="8">
        <v>7237.6</v>
      </c>
      <c r="J21" s="8">
        <v>25550.24</v>
      </c>
      <c r="K21" s="8">
        <v>6000</v>
      </c>
      <c r="L21" s="8" t="str">
        <f t="shared" si="1"/>
        <v>人民币</v>
      </c>
      <c r="M21" s="8" t="str">
        <f>"1361005557"</f>
        <v>1361005557</v>
      </c>
      <c r="N21" s="8" t="str">
        <f t="shared" si="8"/>
        <v>A368402599</v>
      </c>
      <c r="O21" s="8" t="str">
        <f t="shared" si="3"/>
        <v>300100052893</v>
      </c>
    </row>
    <row r="22" spans="1:15">
      <c r="A22" s="8" t="str">
        <f>"20160309"</f>
        <v>20160309</v>
      </c>
      <c r="B22" s="8" t="str">
        <f>"20160309"</f>
        <v>20160309</v>
      </c>
      <c r="C22" s="8" t="str">
        <f t="shared" ref="C22:C26" si="19">"证券买入"</f>
        <v>证券买入</v>
      </c>
      <c r="D22" s="8" t="str">
        <f t="shared" si="17"/>
        <v>600219</v>
      </c>
      <c r="E22" s="8" t="str">
        <f t="shared" si="18"/>
        <v>南山铝业</v>
      </c>
      <c r="F22" s="8">
        <v>6.8</v>
      </c>
      <c r="G22" s="8">
        <v>1000</v>
      </c>
      <c r="H22" s="8">
        <v>6800</v>
      </c>
      <c r="I22" s="8">
        <v>-6805.14</v>
      </c>
      <c r="J22" s="8">
        <v>18745.1</v>
      </c>
      <c r="K22" s="8">
        <v>7000</v>
      </c>
      <c r="L22" s="8" t="str">
        <f t="shared" si="1"/>
        <v>人民币</v>
      </c>
      <c r="M22" s="8" t="str">
        <f>"1361006908"</f>
        <v>1361006908</v>
      </c>
      <c r="N22" s="8" t="str">
        <f t="shared" si="8"/>
        <v>A368402599</v>
      </c>
      <c r="O22" s="8" t="str">
        <f t="shared" si="3"/>
        <v>300100052893</v>
      </c>
    </row>
    <row r="23" spans="1:15">
      <c r="A23" s="8" t="str">
        <f>"20160309"</f>
        <v>20160309</v>
      </c>
      <c r="B23" s="8" t="str">
        <f>"20160309"</f>
        <v>20160309</v>
      </c>
      <c r="C23" s="8" t="str">
        <f>"证券卖出"</f>
        <v>证券卖出</v>
      </c>
      <c r="D23" s="8" t="str">
        <f t="shared" si="17"/>
        <v>600219</v>
      </c>
      <c r="E23" s="8" t="str">
        <f t="shared" si="18"/>
        <v>南山铝业</v>
      </c>
      <c r="F23" s="8">
        <v>6.77</v>
      </c>
      <c r="G23" s="8">
        <v>1000</v>
      </c>
      <c r="H23" s="8">
        <v>6770</v>
      </c>
      <c r="I23" s="8">
        <v>6758.09</v>
      </c>
      <c r="J23" s="8">
        <v>25503.19</v>
      </c>
      <c r="K23" s="8">
        <v>6000</v>
      </c>
      <c r="L23" s="8" t="str">
        <f t="shared" si="1"/>
        <v>人民币</v>
      </c>
      <c r="M23" s="8" t="str">
        <f>"1361007768"</f>
        <v>1361007768</v>
      </c>
      <c r="N23" s="8" t="str">
        <f t="shared" si="8"/>
        <v>A368402599</v>
      </c>
      <c r="O23" s="8" t="str">
        <f t="shared" si="3"/>
        <v>300100052893</v>
      </c>
    </row>
    <row r="24" spans="1:15">
      <c r="A24" s="8" t="str">
        <f t="shared" ref="A24:A26" si="20">"20160314"</f>
        <v>20160314</v>
      </c>
      <c r="B24" s="8" t="str">
        <f t="shared" ref="B24:B26" si="21">"20160314"</f>
        <v>20160314</v>
      </c>
      <c r="C24" s="8" t="str">
        <f t="shared" si="19"/>
        <v>证券买入</v>
      </c>
      <c r="D24" s="8" t="str">
        <f t="shared" si="17"/>
        <v>600219</v>
      </c>
      <c r="E24" s="8" t="str">
        <f t="shared" si="18"/>
        <v>南山铝业</v>
      </c>
      <c r="F24" s="8">
        <v>6.79</v>
      </c>
      <c r="G24" s="8">
        <v>1000</v>
      </c>
      <c r="H24" s="8">
        <v>6790</v>
      </c>
      <c r="I24" s="8">
        <v>-6795.14</v>
      </c>
      <c r="J24" s="8">
        <v>18708.05</v>
      </c>
      <c r="K24" s="8">
        <v>7000</v>
      </c>
      <c r="L24" s="8" t="str">
        <f t="shared" si="1"/>
        <v>人民币</v>
      </c>
      <c r="M24" s="8" t="str">
        <f>"1361000924"</f>
        <v>1361000924</v>
      </c>
      <c r="N24" s="8" t="str">
        <f t="shared" si="8"/>
        <v>A368402599</v>
      </c>
      <c r="O24" s="8" t="str">
        <f t="shared" si="3"/>
        <v>300100052893</v>
      </c>
    </row>
    <row r="25" spans="1:15">
      <c r="A25" s="8" t="str">
        <f t="shared" si="20"/>
        <v>20160314</v>
      </c>
      <c r="B25" s="8" t="str">
        <f t="shared" si="21"/>
        <v>20160314</v>
      </c>
      <c r="C25" s="8" t="str">
        <f>"证券卖出"</f>
        <v>证券卖出</v>
      </c>
      <c r="D25" s="8" t="str">
        <f t="shared" si="17"/>
        <v>600219</v>
      </c>
      <c r="E25" s="8" t="str">
        <f t="shared" si="18"/>
        <v>南山铝业</v>
      </c>
      <c r="F25" s="8">
        <v>6.82</v>
      </c>
      <c r="G25" s="8">
        <v>1000</v>
      </c>
      <c r="H25" s="8">
        <v>6820</v>
      </c>
      <c r="I25" s="8">
        <v>6808.04</v>
      </c>
      <c r="J25" s="8">
        <v>25516.09</v>
      </c>
      <c r="K25" s="8">
        <v>6000</v>
      </c>
      <c r="L25" s="8" t="str">
        <f t="shared" si="1"/>
        <v>人民币</v>
      </c>
      <c r="M25" s="8" t="str">
        <f>"1361001657"</f>
        <v>1361001657</v>
      </c>
      <c r="N25" s="8" t="str">
        <f t="shared" si="8"/>
        <v>A368402599</v>
      </c>
      <c r="O25" s="8" t="str">
        <f t="shared" si="3"/>
        <v>300100052893</v>
      </c>
    </row>
    <row r="26" spans="1:15">
      <c r="A26" s="8" t="str">
        <f t="shared" si="20"/>
        <v>20160314</v>
      </c>
      <c r="B26" s="8" t="str">
        <f t="shared" si="21"/>
        <v>20160314</v>
      </c>
      <c r="C26" s="8" t="str">
        <f t="shared" si="19"/>
        <v>证券买入</v>
      </c>
      <c r="D26" s="8" t="str">
        <f t="shared" si="17"/>
        <v>600219</v>
      </c>
      <c r="E26" s="8" t="str">
        <f t="shared" si="18"/>
        <v>南山铝业</v>
      </c>
      <c r="F26" s="8">
        <v>6.85</v>
      </c>
      <c r="G26" s="8">
        <v>2500</v>
      </c>
      <c r="H26" s="8">
        <v>17125</v>
      </c>
      <c r="I26" s="8">
        <v>-17130.65</v>
      </c>
      <c r="J26" s="8">
        <v>8385.44</v>
      </c>
      <c r="K26" s="8">
        <v>8500</v>
      </c>
      <c r="L26" s="8" t="str">
        <f t="shared" si="1"/>
        <v>人民币</v>
      </c>
      <c r="M26" s="8" t="str">
        <f>"1361002391"</f>
        <v>1361002391</v>
      </c>
      <c r="N26" s="8" t="str">
        <f t="shared" si="8"/>
        <v>A368402599</v>
      </c>
      <c r="O26" s="8" t="str">
        <f t="shared" si="3"/>
        <v>300100052893</v>
      </c>
    </row>
    <row r="27" spans="1:15">
      <c r="A27" s="8" t="str">
        <f>"20160321"</f>
        <v>20160321</v>
      </c>
      <c r="B27" s="8" t="str">
        <f>"20160321"</f>
        <v>20160321</v>
      </c>
      <c r="C27" s="8" t="str">
        <f>"利息归本"</f>
        <v>利息归本</v>
      </c>
      <c r="F27" s="8">
        <v>0</v>
      </c>
      <c r="G27" s="8">
        <v>0</v>
      </c>
      <c r="H27" s="8">
        <v>0</v>
      </c>
      <c r="I27" s="8">
        <v>10.39</v>
      </c>
      <c r="J27" s="8">
        <v>8395.83</v>
      </c>
      <c r="K27" s="8">
        <v>0</v>
      </c>
      <c r="L27" s="8" t="str">
        <f t="shared" si="1"/>
        <v>人民币</v>
      </c>
      <c r="O27" s="8" t="str">
        <f t="shared" si="3"/>
        <v>300100052893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topLeftCell="A17" workbookViewId="0">
      <selection activeCell="A2" sqref="A2:K42"/>
    </sheetView>
  </sheetViews>
  <sheetFormatPr defaultColWidth="9" defaultRowHeight="13.5"/>
  <cols>
    <col min="1" max="16384" width="9" style="8"/>
  </cols>
  <sheetData>
    <row r="1" spans="1:15">
      <c r="A1" s="8" t="str">
        <f>"成交日期"</f>
        <v>成交日期</v>
      </c>
      <c r="B1" s="8" t="str">
        <f>"委托日期"</f>
        <v>委托日期</v>
      </c>
      <c r="C1" s="8" t="str">
        <f>"业务类型"</f>
        <v>业务类型</v>
      </c>
      <c r="D1" s="8" t="str">
        <f>"证券代码"</f>
        <v>证券代码</v>
      </c>
      <c r="E1" s="8" t="str">
        <f>"证券名称"</f>
        <v>证券名称</v>
      </c>
      <c r="F1" s="8" t="str">
        <f>"成交价格"</f>
        <v>成交价格</v>
      </c>
      <c r="G1" s="8" t="str">
        <f>"成交数量"</f>
        <v>成交数量</v>
      </c>
      <c r="H1" s="8" t="str">
        <f>"成交金额"</f>
        <v>成交金额</v>
      </c>
      <c r="I1" s="8" t="str">
        <f>"发生金额"</f>
        <v>发生金额</v>
      </c>
      <c r="J1" s="8" t="str">
        <f>"资金余额"</f>
        <v>资金余额</v>
      </c>
      <c r="K1" s="8" t="str">
        <f>"当前持仓"</f>
        <v>当前持仓</v>
      </c>
      <c r="L1" s="8" t="str">
        <f>"币种"</f>
        <v>币种</v>
      </c>
      <c r="M1" s="8" t="str">
        <f>"协议编号"</f>
        <v>协议编号</v>
      </c>
      <c r="N1" s="8" t="str">
        <f>"股东代码"</f>
        <v>股东代码</v>
      </c>
      <c r="O1" s="8" t="str">
        <f>"产品账号"</f>
        <v>产品账号</v>
      </c>
    </row>
    <row r="2" spans="1:15">
      <c r="A2" s="8" t="str">
        <f>"20160412"</f>
        <v>20160412</v>
      </c>
      <c r="B2" s="8" t="str">
        <f>"20160412"</f>
        <v>20160412</v>
      </c>
      <c r="C2" s="8" t="str">
        <f t="shared" ref="C2:C6" si="0">"证券卖出"</f>
        <v>证券卖出</v>
      </c>
      <c r="D2" s="8" t="str">
        <f>"600219"</f>
        <v>600219</v>
      </c>
      <c r="E2" s="8" t="str">
        <f>"南山铝业"</f>
        <v>南山铝业</v>
      </c>
      <c r="F2" s="8">
        <v>7.25</v>
      </c>
      <c r="G2" s="8">
        <v>2500</v>
      </c>
      <c r="H2" s="8">
        <v>18125</v>
      </c>
      <c r="I2" s="8">
        <v>18100.89</v>
      </c>
      <c r="J2" s="8">
        <v>26496.72</v>
      </c>
      <c r="K2" s="8">
        <v>6000</v>
      </c>
      <c r="L2" s="8" t="str">
        <f t="shared" ref="L2:L42" si="1">"人民币"</f>
        <v>人民币</v>
      </c>
      <c r="M2" s="8" t="str">
        <f>"1361001434"</f>
        <v>1361001434</v>
      </c>
      <c r="N2" s="8" t="str">
        <f t="shared" ref="N2:N17" si="2">"A368402599"</f>
        <v>A368402599</v>
      </c>
      <c r="O2" s="8" t="str">
        <f t="shared" ref="O2:O42" si="3">"300100052893"</f>
        <v>300100052893</v>
      </c>
    </row>
    <row r="3" spans="1:15">
      <c r="A3" s="8" t="str">
        <f>"20160414"</f>
        <v>20160414</v>
      </c>
      <c r="B3" s="8" t="str">
        <f>"20160414"</f>
        <v>20160414</v>
      </c>
      <c r="C3" s="8" t="str">
        <f t="shared" ref="C3:C7" si="4">"证券买入"</f>
        <v>证券买入</v>
      </c>
      <c r="D3" s="8" t="str">
        <f>"511990"</f>
        <v>511990</v>
      </c>
      <c r="E3" s="8" t="str">
        <f>"华宝添益"</f>
        <v>华宝添益</v>
      </c>
      <c r="F3" s="8">
        <v>99.989</v>
      </c>
      <c r="G3" s="8">
        <v>200</v>
      </c>
      <c r="H3" s="8">
        <v>19997.8</v>
      </c>
      <c r="I3" s="8">
        <v>-19997.8</v>
      </c>
      <c r="J3" s="8">
        <v>6498.92</v>
      </c>
      <c r="K3" s="8">
        <v>200</v>
      </c>
      <c r="L3" s="8" t="str">
        <f t="shared" si="1"/>
        <v>人民币</v>
      </c>
      <c r="M3" s="8" t="str">
        <f>"1361005168"</f>
        <v>1361005168</v>
      </c>
      <c r="N3" s="8" t="str">
        <f t="shared" si="2"/>
        <v>A368402599</v>
      </c>
      <c r="O3" s="8" t="str">
        <f t="shared" si="3"/>
        <v>300100052893</v>
      </c>
    </row>
    <row r="4" spans="1:15">
      <c r="A4" s="8" t="str">
        <f>"20160420"</f>
        <v>20160420</v>
      </c>
      <c r="B4" s="8" t="str">
        <f>"20160420"</f>
        <v>20160420</v>
      </c>
      <c r="C4" s="8" t="str">
        <f t="shared" si="4"/>
        <v>证券买入</v>
      </c>
      <c r="D4" s="8" t="str">
        <f>"510300"</f>
        <v>510300</v>
      </c>
      <c r="E4" s="8" t="str">
        <f>"300ETF"</f>
        <v>300ETF</v>
      </c>
      <c r="F4" s="8">
        <v>3.114</v>
      </c>
      <c r="G4" s="8">
        <v>2000</v>
      </c>
      <c r="H4" s="8">
        <v>6228</v>
      </c>
      <c r="I4" s="8">
        <v>-6233</v>
      </c>
      <c r="J4" s="8">
        <v>265.92</v>
      </c>
      <c r="K4" s="8">
        <v>4000</v>
      </c>
      <c r="L4" s="8" t="str">
        <f t="shared" si="1"/>
        <v>人民币</v>
      </c>
      <c r="M4" s="8" t="str">
        <f>"1361006585"</f>
        <v>1361006585</v>
      </c>
      <c r="N4" s="8" t="str">
        <f t="shared" si="2"/>
        <v>A368402599</v>
      </c>
      <c r="O4" s="8" t="str">
        <f t="shared" si="3"/>
        <v>300100052893</v>
      </c>
    </row>
    <row r="5" spans="1:15">
      <c r="A5" s="8" t="str">
        <f>"20160420"</f>
        <v>20160420</v>
      </c>
      <c r="B5" s="8" t="str">
        <f>"20160420"</f>
        <v>20160420</v>
      </c>
      <c r="C5" s="8" t="str">
        <f t="shared" si="0"/>
        <v>证券卖出</v>
      </c>
      <c r="D5" s="8" t="str">
        <f>"510300"</f>
        <v>510300</v>
      </c>
      <c r="E5" s="8" t="str">
        <f>"300ETF"</f>
        <v>300ETF</v>
      </c>
      <c r="F5" s="8">
        <v>3.157</v>
      </c>
      <c r="G5" s="8">
        <v>2000</v>
      </c>
      <c r="H5" s="8">
        <v>6314</v>
      </c>
      <c r="I5" s="8">
        <v>6309</v>
      </c>
      <c r="J5" s="8">
        <v>6574.92</v>
      </c>
      <c r="K5" s="8">
        <v>2000</v>
      </c>
      <c r="L5" s="8" t="str">
        <f t="shared" si="1"/>
        <v>人民币</v>
      </c>
      <c r="M5" s="8" t="str">
        <f>"1361008174"</f>
        <v>1361008174</v>
      </c>
      <c r="N5" s="8" t="str">
        <f t="shared" si="2"/>
        <v>A368402599</v>
      </c>
      <c r="O5" s="8" t="str">
        <f t="shared" si="3"/>
        <v>300100052893</v>
      </c>
    </row>
    <row r="6" spans="1:15">
      <c r="A6" s="8" t="str">
        <f>"20160421"</f>
        <v>20160421</v>
      </c>
      <c r="B6" s="8" t="str">
        <f>"20160421"</f>
        <v>20160421</v>
      </c>
      <c r="C6" s="8" t="str">
        <f t="shared" si="0"/>
        <v>证券卖出</v>
      </c>
      <c r="D6" s="8" t="str">
        <f>"162411"</f>
        <v>162411</v>
      </c>
      <c r="E6" s="8" t="str">
        <f>"华宝油气"</f>
        <v>华宝油气</v>
      </c>
      <c r="F6" s="8">
        <v>0.56</v>
      </c>
      <c r="G6" s="8">
        <v>9871</v>
      </c>
      <c r="H6" s="8">
        <v>5527.76</v>
      </c>
      <c r="I6" s="8">
        <v>5522.76</v>
      </c>
      <c r="J6" s="8">
        <v>12097.68</v>
      </c>
      <c r="K6" s="8">
        <v>10000</v>
      </c>
      <c r="L6" s="8" t="str">
        <f t="shared" si="1"/>
        <v>人民币</v>
      </c>
      <c r="M6" s="8" t="str">
        <f>"T4005374"</f>
        <v>T4005374</v>
      </c>
      <c r="N6" s="8" t="str">
        <f>"0149593788"</f>
        <v>0149593788</v>
      </c>
      <c r="O6" s="8" t="str">
        <f t="shared" si="3"/>
        <v>300100052893</v>
      </c>
    </row>
    <row r="7" spans="1:15">
      <c r="A7" s="8" t="str">
        <f>"20160421"</f>
        <v>20160421</v>
      </c>
      <c r="B7" s="8" t="str">
        <f>"20160421"</f>
        <v>20160421</v>
      </c>
      <c r="C7" s="8" t="str">
        <f t="shared" si="4"/>
        <v>证券买入</v>
      </c>
      <c r="D7" s="8" t="str">
        <f>"600886"</f>
        <v>600886</v>
      </c>
      <c r="E7" s="8" t="str">
        <f>"国投电力"</f>
        <v>国投电力</v>
      </c>
      <c r="F7" s="8">
        <v>6.38</v>
      </c>
      <c r="G7" s="8">
        <v>1800</v>
      </c>
      <c r="H7" s="8">
        <v>11484</v>
      </c>
      <c r="I7" s="8">
        <v>-11489.23</v>
      </c>
      <c r="J7" s="8">
        <v>608.45</v>
      </c>
      <c r="K7" s="8">
        <v>1800</v>
      </c>
      <c r="L7" s="8" t="str">
        <f t="shared" si="1"/>
        <v>人民币</v>
      </c>
      <c r="M7" s="8" t="str">
        <f>"1361008452"</f>
        <v>1361008452</v>
      </c>
      <c r="N7" s="8" t="str">
        <f t="shared" si="2"/>
        <v>A368402599</v>
      </c>
      <c r="O7" s="8" t="str">
        <f t="shared" si="3"/>
        <v>300100052893</v>
      </c>
    </row>
    <row r="8" spans="1:15">
      <c r="A8" s="8" t="str">
        <f>"20160422"</f>
        <v>20160422</v>
      </c>
      <c r="B8" s="8" t="str">
        <f t="shared" ref="B8:B10" si="5">"20160422"</f>
        <v>20160422</v>
      </c>
      <c r="C8" s="8" t="str">
        <f t="shared" ref="C8:C14" si="6">"证券卖出"</f>
        <v>证券卖出</v>
      </c>
      <c r="D8" s="8" t="str">
        <f>"511990"</f>
        <v>511990</v>
      </c>
      <c r="E8" s="8" t="str">
        <f>"华宝添益"</f>
        <v>华宝添益</v>
      </c>
      <c r="F8" s="8">
        <v>100.012</v>
      </c>
      <c r="G8" s="8">
        <v>200</v>
      </c>
      <c r="H8" s="8">
        <v>20002.4</v>
      </c>
      <c r="I8" s="8">
        <v>20002.4</v>
      </c>
      <c r="J8" s="8">
        <v>20610.85</v>
      </c>
      <c r="K8" s="8">
        <v>0</v>
      </c>
      <c r="L8" s="8" t="str">
        <f t="shared" si="1"/>
        <v>人民币</v>
      </c>
      <c r="M8" s="8" t="str">
        <f>"1361002149"</f>
        <v>1361002149</v>
      </c>
      <c r="N8" s="8" t="str">
        <f t="shared" si="2"/>
        <v>A368402599</v>
      </c>
      <c r="O8" s="8" t="str">
        <f t="shared" si="3"/>
        <v>300100052893</v>
      </c>
    </row>
    <row r="9" spans="1:15">
      <c r="A9" s="8" t="str">
        <f>"20160422"</f>
        <v>20160422</v>
      </c>
      <c r="B9" s="8" t="str">
        <f t="shared" si="5"/>
        <v>20160422</v>
      </c>
      <c r="C9" s="8" t="str">
        <f>"证券买入"</f>
        <v>证券买入</v>
      </c>
      <c r="D9" s="8" t="str">
        <f>"600886"</f>
        <v>600886</v>
      </c>
      <c r="E9" s="8" t="str">
        <f>"国投电力"</f>
        <v>国投电力</v>
      </c>
      <c r="F9" s="8">
        <v>6.38</v>
      </c>
      <c r="G9" s="8">
        <v>2000</v>
      </c>
      <c r="H9" s="8">
        <v>12760</v>
      </c>
      <c r="I9" s="8">
        <v>-12765.26</v>
      </c>
      <c r="J9" s="8">
        <v>7845.59</v>
      </c>
      <c r="K9" s="8">
        <v>3800</v>
      </c>
      <c r="L9" s="8" t="str">
        <f t="shared" si="1"/>
        <v>人民币</v>
      </c>
      <c r="M9" s="8" t="str">
        <f>"1361003013"</f>
        <v>1361003013</v>
      </c>
      <c r="N9" s="8" t="str">
        <f t="shared" si="2"/>
        <v>A368402599</v>
      </c>
      <c r="O9" s="8" t="str">
        <f t="shared" si="3"/>
        <v>300100052893</v>
      </c>
    </row>
    <row r="10" spans="1:15">
      <c r="A10" s="8" t="str">
        <f>"20160425"</f>
        <v>20160425</v>
      </c>
      <c r="B10" s="8" t="str">
        <f t="shared" si="5"/>
        <v>20160422</v>
      </c>
      <c r="C10" s="8" t="str">
        <f>"ETF 申购退款"</f>
        <v>ETF 申购退款</v>
      </c>
      <c r="D10" s="8" t="str">
        <f>"511990"</f>
        <v>511990</v>
      </c>
      <c r="E10" s="8" t="str">
        <f>"华宝添益"</f>
        <v>华宝添益</v>
      </c>
      <c r="F10" s="8">
        <v>0</v>
      </c>
      <c r="G10" s="8">
        <v>0</v>
      </c>
      <c r="H10" s="8">
        <v>10.25</v>
      </c>
      <c r="I10" s="8">
        <v>10.25</v>
      </c>
      <c r="J10" s="8">
        <v>7855.84</v>
      </c>
      <c r="K10" s="8">
        <v>0</v>
      </c>
      <c r="L10" s="8" t="str">
        <f t="shared" si="1"/>
        <v>人民币</v>
      </c>
      <c r="N10" s="8" t="str">
        <f t="shared" si="2"/>
        <v>A368402599</v>
      </c>
      <c r="O10" s="8" t="str">
        <f t="shared" si="3"/>
        <v>300100052893</v>
      </c>
    </row>
    <row r="11" spans="1:15">
      <c r="A11" s="8" t="str">
        <f>"20160516"</f>
        <v>20160516</v>
      </c>
      <c r="B11" s="8" t="str">
        <f>"20160516"</f>
        <v>20160516</v>
      </c>
      <c r="C11" s="8" t="str">
        <f t="shared" ref="C11:C16" si="7">"证券买入"</f>
        <v>证券买入</v>
      </c>
      <c r="D11" s="8" t="str">
        <f t="shared" ref="D11:D17" si="8">"510300"</f>
        <v>510300</v>
      </c>
      <c r="E11" s="8" t="str">
        <f t="shared" ref="E11:E17" si="9">"300ETF"</f>
        <v>300ETF</v>
      </c>
      <c r="F11" s="8">
        <v>3.075</v>
      </c>
      <c r="G11" s="8">
        <v>2500</v>
      </c>
      <c r="H11" s="8">
        <v>7687.5</v>
      </c>
      <c r="I11" s="8">
        <v>-7692.5</v>
      </c>
      <c r="J11" s="8">
        <v>163.34</v>
      </c>
      <c r="K11" s="8">
        <v>4500</v>
      </c>
      <c r="L11" s="8" t="str">
        <f t="shared" si="1"/>
        <v>人民币</v>
      </c>
      <c r="M11" s="8" t="str">
        <f>"1361002623"</f>
        <v>1361002623</v>
      </c>
      <c r="N11" s="8" t="str">
        <f t="shared" si="2"/>
        <v>A368402599</v>
      </c>
      <c r="O11" s="8" t="str">
        <f t="shared" si="3"/>
        <v>300100052893</v>
      </c>
    </row>
    <row r="12" spans="1:15">
      <c r="A12" s="8" t="str">
        <f>"20160531"</f>
        <v>20160531</v>
      </c>
      <c r="B12" s="8" t="str">
        <f>"20160531"</f>
        <v>20160531</v>
      </c>
      <c r="C12" s="8" t="str">
        <f t="shared" si="6"/>
        <v>证券卖出</v>
      </c>
      <c r="D12" s="8" t="str">
        <f t="shared" si="8"/>
        <v>510300</v>
      </c>
      <c r="E12" s="8" t="str">
        <f t="shared" si="9"/>
        <v>300ETF</v>
      </c>
      <c r="F12" s="8">
        <v>3.135</v>
      </c>
      <c r="G12" s="8">
        <v>2500</v>
      </c>
      <c r="H12" s="8">
        <v>7837.5</v>
      </c>
      <c r="I12" s="8">
        <v>7832.5</v>
      </c>
      <c r="J12" s="8">
        <v>7995.84</v>
      </c>
      <c r="K12" s="8">
        <v>2000</v>
      </c>
      <c r="L12" s="8" t="str">
        <f t="shared" si="1"/>
        <v>人民币</v>
      </c>
      <c r="M12" s="8" t="str">
        <f>"1361005379"</f>
        <v>1361005379</v>
      </c>
      <c r="N12" s="8" t="str">
        <f t="shared" si="2"/>
        <v>A368402599</v>
      </c>
      <c r="O12" s="8" t="str">
        <f t="shared" si="3"/>
        <v>300100052893</v>
      </c>
    </row>
    <row r="13" spans="1:15">
      <c r="A13" s="8" t="str">
        <f>"20160603"</f>
        <v>20160603</v>
      </c>
      <c r="B13" s="8" t="str">
        <f>"20160603"</f>
        <v>20160603</v>
      </c>
      <c r="C13" s="8" t="str">
        <f t="shared" si="6"/>
        <v>证券卖出</v>
      </c>
      <c r="D13" s="8" t="str">
        <f>"600219"</f>
        <v>600219</v>
      </c>
      <c r="E13" s="8" t="str">
        <f>"南山铝业"</f>
        <v>南山铝业</v>
      </c>
      <c r="F13" s="8">
        <v>7.17</v>
      </c>
      <c r="G13" s="8">
        <v>1000</v>
      </c>
      <c r="H13" s="8">
        <v>7170</v>
      </c>
      <c r="I13" s="8">
        <v>7157.69</v>
      </c>
      <c r="J13" s="8">
        <v>15153.53</v>
      </c>
      <c r="K13" s="8">
        <v>5000</v>
      </c>
      <c r="L13" s="8" t="str">
        <f t="shared" si="1"/>
        <v>人民币</v>
      </c>
      <c r="M13" s="8" t="str">
        <f>"1361001696"</f>
        <v>1361001696</v>
      </c>
      <c r="N13" s="8" t="str">
        <f t="shared" si="2"/>
        <v>A368402599</v>
      </c>
      <c r="O13" s="8" t="str">
        <f t="shared" si="3"/>
        <v>300100052893</v>
      </c>
    </row>
    <row r="14" spans="1:15">
      <c r="A14" s="8" t="str">
        <f>"20160603"</f>
        <v>20160603</v>
      </c>
      <c r="B14" s="8" t="str">
        <f>"20160603"</f>
        <v>20160603</v>
      </c>
      <c r="C14" s="8" t="str">
        <f t="shared" si="6"/>
        <v>证券卖出</v>
      </c>
      <c r="D14" s="8" t="str">
        <f>"600886"</f>
        <v>600886</v>
      </c>
      <c r="E14" s="8" t="str">
        <f>"国投电力"</f>
        <v>国投电力</v>
      </c>
      <c r="F14" s="8">
        <v>6.69</v>
      </c>
      <c r="G14" s="8">
        <v>2000</v>
      </c>
      <c r="H14" s="8">
        <v>13380</v>
      </c>
      <c r="I14" s="8">
        <v>13361.35</v>
      </c>
      <c r="J14" s="8">
        <v>28514.88</v>
      </c>
      <c r="K14" s="8">
        <v>1800</v>
      </c>
      <c r="L14" s="8" t="str">
        <f t="shared" si="1"/>
        <v>人民币</v>
      </c>
      <c r="M14" s="8" t="str">
        <f>"1361004669"</f>
        <v>1361004669</v>
      </c>
      <c r="N14" s="8" t="str">
        <f t="shared" si="2"/>
        <v>A368402599</v>
      </c>
      <c r="O14" s="8" t="str">
        <f t="shared" si="3"/>
        <v>300100052893</v>
      </c>
    </row>
    <row r="15" spans="1:15">
      <c r="A15" s="8" t="str">
        <f t="shared" ref="A15:A17" si="10">"20160613"</f>
        <v>20160613</v>
      </c>
      <c r="B15" s="8" t="str">
        <f t="shared" ref="B15:B17" si="11">"20160613"</f>
        <v>20160613</v>
      </c>
      <c r="C15" s="8" t="str">
        <f t="shared" si="7"/>
        <v>证券买入</v>
      </c>
      <c r="D15" s="8" t="str">
        <f>"600886"</f>
        <v>600886</v>
      </c>
      <c r="E15" s="8" t="str">
        <f>"国投电力"</f>
        <v>国投电力</v>
      </c>
      <c r="F15" s="8">
        <v>6.61</v>
      </c>
      <c r="G15" s="8">
        <v>2000</v>
      </c>
      <c r="H15" s="8">
        <v>13220</v>
      </c>
      <c r="I15" s="8">
        <v>-13225.26</v>
      </c>
      <c r="J15" s="8">
        <v>15289.62</v>
      </c>
      <c r="K15" s="8">
        <v>3800</v>
      </c>
      <c r="L15" s="8" t="str">
        <f t="shared" si="1"/>
        <v>人民币</v>
      </c>
      <c r="M15" s="8" t="str">
        <f>"1361001532"</f>
        <v>1361001532</v>
      </c>
      <c r="N15" s="8" t="str">
        <f t="shared" si="2"/>
        <v>A368402599</v>
      </c>
      <c r="O15" s="8" t="str">
        <f t="shared" si="3"/>
        <v>300100052893</v>
      </c>
    </row>
    <row r="16" spans="1:15">
      <c r="A16" s="8" t="str">
        <f t="shared" si="10"/>
        <v>20160613</v>
      </c>
      <c r="B16" s="8" t="str">
        <f t="shared" si="11"/>
        <v>20160613</v>
      </c>
      <c r="C16" s="8" t="str">
        <f t="shared" si="7"/>
        <v>证券买入</v>
      </c>
      <c r="D16" s="8" t="str">
        <f t="shared" si="8"/>
        <v>510300</v>
      </c>
      <c r="E16" s="8" t="str">
        <f t="shared" si="9"/>
        <v>300ETF</v>
      </c>
      <c r="F16" s="8">
        <v>3.138</v>
      </c>
      <c r="G16" s="8">
        <v>2000</v>
      </c>
      <c r="H16" s="8">
        <v>6276</v>
      </c>
      <c r="I16" s="8">
        <v>-6281</v>
      </c>
      <c r="J16" s="8">
        <v>9008.62</v>
      </c>
      <c r="K16" s="8">
        <v>4000</v>
      </c>
      <c r="L16" s="8" t="str">
        <f t="shared" si="1"/>
        <v>人民币</v>
      </c>
      <c r="M16" s="8" t="str">
        <f>"1361003225"</f>
        <v>1361003225</v>
      </c>
      <c r="N16" s="8" t="str">
        <f t="shared" si="2"/>
        <v>A368402599</v>
      </c>
      <c r="O16" s="8" t="str">
        <f t="shared" si="3"/>
        <v>300100052893</v>
      </c>
    </row>
    <row r="17" spans="1:15">
      <c r="A17" s="8" t="str">
        <f t="shared" si="10"/>
        <v>20160613</v>
      </c>
      <c r="B17" s="8" t="str">
        <f t="shared" si="11"/>
        <v>20160613</v>
      </c>
      <c r="C17" s="8" t="str">
        <f>"证券卖出"</f>
        <v>证券卖出</v>
      </c>
      <c r="D17" s="8" t="str">
        <f t="shared" si="8"/>
        <v>510300</v>
      </c>
      <c r="E17" s="8" t="str">
        <f t="shared" si="9"/>
        <v>300ETF</v>
      </c>
      <c r="F17" s="8">
        <v>3.125</v>
      </c>
      <c r="G17" s="8">
        <v>2000</v>
      </c>
      <c r="H17" s="8">
        <v>6250</v>
      </c>
      <c r="I17" s="8">
        <v>6245</v>
      </c>
      <c r="J17" s="8">
        <v>15253.62</v>
      </c>
      <c r="K17" s="8">
        <v>2000</v>
      </c>
      <c r="L17" s="8" t="str">
        <f t="shared" si="1"/>
        <v>人民币</v>
      </c>
      <c r="M17" s="8" t="str">
        <f>"1361003654"</f>
        <v>1361003654</v>
      </c>
      <c r="N17" s="8" t="str">
        <f t="shared" si="2"/>
        <v>A368402599</v>
      </c>
      <c r="O17" s="8" t="str">
        <f t="shared" si="3"/>
        <v>300100052893</v>
      </c>
    </row>
    <row r="18" spans="1:15">
      <c r="A18" s="8" t="str">
        <f>"20160620"</f>
        <v>20160620</v>
      </c>
      <c r="B18" s="8" t="str">
        <f>"20160620"</f>
        <v>20160620</v>
      </c>
      <c r="C18" s="8" t="str">
        <f>"利息归本"</f>
        <v>利息归本</v>
      </c>
      <c r="F18" s="8">
        <v>0</v>
      </c>
      <c r="G18" s="8">
        <v>0</v>
      </c>
      <c r="H18" s="8">
        <v>0</v>
      </c>
      <c r="I18" s="8">
        <v>7.97</v>
      </c>
      <c r="J18" s="8">
        <v>15261.59</v>
      </c>
      <c r="K18" s="8">
        <v>0</v>
      </c>
      <c r="L18" s="8" t="str">
        <f t="shared" si="1"/>
        <v>人民币</v>
      </c>
      <c r="O18" s="8" t="str">
        <f t="shared" si="3"/>
        <v>300100052893</v>
      </c>
    </row>
    <row r="19" spans="1:15">
      <c r="A19" s="8" t="str">
        <f t="shared" ref="A19:A21" si="12">"20160621"</f>
        <v>20160621</v>
      </c>
      <c r="B19" s="8" t="str">
        <f t="shared" ref="B19:B23" si="13">"20160621"</f>
        <v>20160621</v>
      </c>
      <c r="C19" s="8" t="str">
        <f>"银行转证券"</f>
        <v>银行转证券</v>
      </c>
      <c r="F19" s="8">
        <v>0</v>
      </c>
      <c r="G19" s="8">
        <v>0</v>
      </c>
      <c r="H19" s="8">
        <v>0</v>
      </c>
      <c r="I19" s="8">
        <v>100000</v>
      </c>
      <c r="J19" s="8">
        <v>115261.59</v>
      </c>
      <c r="K19" s="8">
        <v>0</v>
      </c>
      <c r="L19" s="8" t="str">
        <f t="shared" si="1"/>
        <v>人民币</v>
      </c>
      <c r="O19" s="8" t="str">
        <f t="shared" si="3"/>
        <v>300100052893</v>
      </c>
    </row>
    <row r="20" spans="1:15">
      <c r="A20" s="8" t="str">
        <f t="shared" si="12"/>
        <v>20160621</v>
      </c>
      <c r="B20" s="8" t="str">
        <f t="shared" si="13"/>
        <v>20160621</v>
      </c>
      <c r="C20" s="8" t="str">
        <f t="shared" ref="C20:C30" si="14">"证券买入"</f>
        <v>证券买入</v>
      </c>
      <c r="D20" s="8" t="str">
        <f>"000939"</f>
        <v>000939</v>
      </c>
      <c r="E20" s="8" t="str">
        <f>"凯迪生态"</f>
        <v>凯迪生态</v>
      </c>
      <c r="F20" s="8">
        <v>8.05</v>
      </c>
      <c r="G20" s="8">
        <v>1800</v>
      </c>
      <c r="H20" s="8">
        <v>14490</v>
      </c>
      <c r="I20" s="8">
        <v>-14495</v>
      </c>
      <c r="J20" s="8">
        <v>100766.59</v>
      </c>
      <c r="K20" s="8">
        <v>1800</v>
      </c>
      <c r="L20" s="8" t="str">
        <f t="shared" si="1"/>
        <v>人民币</v>
      </c>
      <c r="M20" s="8" t="str">
        <f>"T4002176"</f>
        <v>T4002176</v>
      </c>
      <c r="N20" s="8" t="str">
        <f>"0149593788"</f>
        <v>0149593788</v>
      </c>
      <c r="O20" s="8" t="str">
        <f t="shared" si="3"/>
        <v>300100052893</v>
      </c>
    </row>
    <row r="21" spans="1:15">
      <c r="A21" s="8" t="str">
        <f t="shared" si="12"/>
        <v>20160621</v>
      </c>
      <c r="B21" s="8" t="str">
        <f t="shared" si="13"/>
        <v>20160621</v>
      </c>
      <c r="C21" s="8" t="str">
        <f t="shared" si="14"/>
        <v>证券买入</v>
      </c>
      <c r="D21" s="8" t="str">
        <f>"511990"</f>
        <v>511990</v>
      </c>
      <c r="E21" s="8" t="str">
        <f>"华宝添益"</f>
        <v>华宝添益</v>
      </c>
      <c r="F21" s="8">
        <v>99.984</v>
      </c>
      <c r="G21" s="8">
        <v>1000</v>
      </c>
      <c r="H21" s="8">
        <v>99984</v>
      </c>
      <c r="I21" s="8">
        <v>-99984</v>
      </c>
      <c r="J21" s="8">
        <v>782.59</v>
      </c>
      <c r="K21" s="8">
        <v>1000</v>
      </c>
      <c r="L21" s="8" t="str">
        <f t="shared" si="1"/>
        <v>人民币</v>
      </c>
      <c r="M21" s="8" t="str">
        <f>"1361002836"</f>
        <v>1361002836</v>
      </c>
      <c r="N21" s="8" t="str">
        <f t="shared" ref="N21:N23" si="15">"A368402599"</f>
        <v>A368402599</v>
      </c>
      <c r="O21" s="8" t="str">
        <f t="shared" si="3"/>
        <v>300100052893</v>
      </c>
    </row>
    <row r="22" spans="1:15">
      <c r="A22" s="8" t="str">
        <f>"20160622"</f>
        <v>20160622</v>
      </c>
      <c r="B22" s="8" t="str">
        <f t="shared" si="13"/>
        <v>20160621</v>
      </c>
      <c r="C22" s="8" t="str">
        <f>"ETF 基金赎回"</f>
        <v>ETF 基金赎回</v>
      </c>
      <c r="D22" s="8" t="str">
        <f>"511991"</f>
        <v>511991</v>
      </c>
      <c r="E22" s="8" t="str">
        <f>"添益申赎"</f>
        <v>添益申赎</v>
      </c>
      <c r="F22" s="8">
        <v>0</v>
      </c>
      <c r="G22" s="8">
        <v>1000</v>
      </c>
      <c r="H22" s="8">
        <v>0</v>
      </c>
      <c r="I22" s="8">
        <v>0</v>
      </c>
      <c r="J22" s="8">
        <v>782.59</v>
      </c>
      <c r="K22" s="8">
        <v>0</v>
      </c>
      <c r="L22" s="8" t="str">
        <f t="shared" si="1"/>
        <v>人民币</v>
      </c>
      <c r="M22" s="8" t="str">
        <f>"1361002930"</f>
        <v>1361002930</v>
      </c>
      <c r="N22" s="8" t="str">
        <f t="shared" si="15"/>
        <v>A368402599</v>
      </c>
      <c r="O22" s="8" t="str">
        <f t="shared" si="3"/>
        <v>300100052893</v>
      </c>
    </row>
    <row r="23" spans="1:15">
      <c r="A23" s="8" t="str">
        <f>"20160622"</f>
        <v>20160622</v>
      </c>
      <c r="B23" s="8" t="str">
        <f t="shared" si="13"/>
        <v>20160621</v>
      </c>
      <c r="C23" s="8" t="str">
        <f>"ETF 申购退款"</f>
        <v>ETF 申购退款</v>
      </c>
      <c r="D23" s="8" t="str">
        <f>"511990"</f>
        <v>511990</v>
      </c>
      <c r="E23" s="8" t="str">
        <f>"华宝添益"</f>
        <v>华宝添益</v>
      </c>
      <c r="F23" s="8">
        <v>0</v>
      </c>
      <c r="G23" s="8">
        <v>0</v>
      </c>
      <c r="H23" s="8">
        <v>100006.13</v>
      </c>
      <c r="I23" s="8">
        <v>100006.13</v>
      </c>
      <c r="J23" s="8">
        <v>100788.72</v>
      </c>
      <c r="K23" s="8">
        <v>0</v>
      </c>
      <c r="L23" s="8" t="str">
        <f t="shared" si="1"/>
        <v>人民币</v>
      </c>
      <c r="N23" s="8" t="str">
        <f t="shared" si="15"/>
        <v>A368402599</v>
      </c>
      <c r="O23" s="8" t="str">
        <f t="shared" si="3"/>
        <v>300100052893</v>
      </c>
    </row>
    <row r="24" spans="1:15">
      <c r="A24" s="8" t="str">
        <f>"20160623"</f>
        <v>20160623</v>
      </c>
      <c r="B24" s="8" t="str">
        <f>"20160623"</f>
        <v>20160623</v>
      </c>
      <c r="C24" s="8" t="str">
        <f t="shared" si="14"/>
        <v>证券买入</v>
      </c>
      <c r="D24" s="8" t="str">
        <f>"000667"</f>
        <v>000667</v>
      </c>
      <c r="E24" s="8" t="str">
        <f>"美好集团"</f>
        <v>美好集团</v>
      </c>
      <c r="F24" s="8">
        <v>3.55</v>
      </c>
      <c r="G24" s="8">
        <v>3000</v>
      </c>
      <c r="H24" s="8">
        <v>10650</v>
      </c>
      <c r="I24" s="8">
        <v>-10655</v>
      </c>
      <c r="J24" s="8">
        <v>90133.72</v>
      </c>
      <c r="K24" s="8">
        <v>3000</v>
      </c>
      <c r="L24" s="8" t="str">
        <f t="shared" si="1"/>
        <v>人民币</v>
      </c>
      <c r="M24" s="8" t="str">
        <f>"T4007451"</f>
        <v>T4007451</v>
      </c>
      <c r="N24" s="8" t="str">
        <f t="shared" ref="N24:N29" si="16">"0149593788"</f>
        <v>0149593788</v>
      </c>
      <c r="O24" s="8" t="str">
        <f t="shared" si="3"/>
        <v>300100052893</v>
      </c>
    </row>
    <row r="25" spans="1:15">
      <c r="A25" s="8" t="str">
        <f>"20160623"</f>
        <v>20160623</v>
      </c>
      <c r="B25" s="8" t="str">
        <f>"20160623"</f>
        <v>20160623</v>
      </c>
      <c r="C25" s="8" t="str">
        <f t="shared" si="14"/>
        <v>证券买入</v>
      </c>
      <c r="D25" s="8" t="str">
        <f t="shared" ref="D25:D30" si="17">"600886"</f>
        <v>600886</v>
      </c>
      <c r="E25" s="8" t="str">
        <f t="shared" ref="E25:E30" si="18">"国投电力"</f>
        <v>国投电力</v>
      </c>
      <c r="F25" s="8">
        <v>6.62</v>
      </c>
      <c r="G25" s="8">
        <v>2000</v>
      </c>
      <c r="H25" s="8">
        <v>13240</v>
      </c>
      <c r="I25" s="8">
        <v>-13245.26</v>
      </c>
      <c r="J25" s="8">
        <v>76888.46</v>
      </c>
      <c r="K25" s="8">
        <v>5800</v>
      </c>
      <c r="L25" s="8" t="str">
        <f t="shared" si="1"/>
        <v>人民币</v>
      </c>
      <c r="M25" s="8" t="str">
        <f>"1361002698"</f>
        <v>1361002698</v>
      </c>
      <c r="N25" s="8" t="str">
        <f t="shared" ref="N25:N27" si="19">"A368402599"</f>
        <v>A368402599</v>
      </c>
      <c r="O25" s="8" t="str">
        <f t="shared" si="3"/>
        <v>300100052893</v>
      </c>
    </row>
    <row r="26" spans="1:15">
      <c r="A26" s="8" t="str">
        <f t="shared" ref="A26:A30" si="20">"20160624"</f>
        <v>20160624</v>
      </c>
      <c r="B26" s="8" t="str">
        <f t="shared" ref="B26:B30" si="21">"20160624"</f>
        <v>20160624</v>
      </c>
      <c r="C26" s="8" t="str">
        <f t="shared" si="14"/>
        <v>证券买入</v>
      </c>
      <c r="D26" s="8" t="str">
        <f>"510300"</f>
        <v>510300</v>
      </c>
      <c r="E26" s="8" t="str">
        <f>"300ETF"</f>
        <v>300ETF</v>
      </c>
      <c r="F26" s="8">
        <v>3.1</v>
      </c>
      <c r="G26" s="8">
        <v>2000</v>
      </c>
      <c r="H26" s="8">
        <v>6200</v>
      </c>
      <c r="I26" s="8">
        <v>-6205</v>
      </c>
      <c r="J26" s="8">
        <v>70683.46</v>
      </c>
      <c r="K26" s="8">
        <v>4000</v>
      </c>
      <c r="L26" s="8" t="str">
        <f t="shared" si="1"/>
        <v>人民币</v>
      </c>
      <c r="M26" s="8" t="str">
        <f>"1361002227"</f>
        <v>1361002227</v>
      </c>
      <c r="N26" s="8" t="str">
        <f t="shared" si="19"/>
        <v>A368402599</v>
      </c>
      <c r="O26" s="8" t="str">
        <f t="shared" si="3"/>
        <v>300100052893</v>
      </c>
    </row>
    <row r="27" spans="1:15">
      <c r="A27" s="8" t="str">
        <f t="shared" si="20"/>
        <v>20160624</v>
      </c>
      <c r="B27" s="8" t="str">
        <f t="shared" si="21"/>
        <v>20160624</v>
      </c>
      <c r="C27" s="8" t="str">
        <f t="shared" si="14"/>
        <v>证券买入</v>
      </c>
      <c r="D27" s="8" t="str">
        <f t="shared" si="17"/>
        <v>600886</v>
      </c>
      <c r="E27" s="8" t="str">
        <f t="shared" si="18"/>
        <v>国投电力</v>
      </c>
      <c r="F27" s="8">
        <v>6.57</v>
      </c>
      <c r="G27" s="8">
        <v>2000</v>
      </c>
      <c r="H27" s="8">
        <v>13140</v>
      </c>
      <c r="I27" s="8">
        <v>-13145.26</v>
      </c>
      <c r="J27" s="8">
        <v>57538.2</v>
      </c>
      <c r="K27" s="8">
        <v>7800</v>
      </c>
      <c r="L27" s="8" t="str">
        <f t="shared" si="1"/>
        <v>人民币</v>
      </c>
      <c r="M27" s="8" t="str">
        <f>"1361002264"</f>
        <v>1361002264</v>
      </c>
      <c r="N27" s="8" t="str">
        <f t="shared" si="19"/>
        <v>A368402599</v>
      </c>
      <c r="O27" s="8" t="str">
        <f t="shared" si="3"/>
        <v>300100052893</v>
      </c>
    </row>
    <row r="28" spans="1:15">
      <c r="A28" s="8" t="str">
        <f t="shared" si="20"/>
        <v>20160624</v>
      </c>
      <c r="B28" s="8" t="str">
        <f t="shared" si="21"/>
        <v>20160624</v>
      </c>
      <c r="C28" s="8" t="str">
        <f t="shared" si="14"/>
        <v>证券买入</v>
      </c>
      <c r="D28" s="8" t="str">
        <f>"000667"</f>
        <v>000667</v>
      </c>
      <c r="E28" s="8" t="str">
        <f>"美好集团"</f>
        <v>美好集团</v>
      </c>
      <c r="F28" s="8">
        <v>3.51</v>
      </c>
      <c r="G28" s="8">
        <v>3000</v>
      </c>
      <c r="H28" s="8">
        <v>10530</v>
      </c>
      <c r="I28" s="8">
        <v>-10535</v>
      </c>
      <c r="J28" s="8">
        <v>47003.2</v>
      </c>
      <c r="K28" s="8">
        <v>6000</v>
      </c>
      <c r="L28" s="8" t="str">
        <f t="shared" si="1"/>
        <v>人民币</v>
      </c>
      <c r="M28" s="8" t="str">
        <f>"T4006296"</f>
        <v>T4006296</v>
      </c>
      <c r="N28" s="8" t="str">
        <f t="shared" si="16"/>
        <v>0149593788</v>
      </c>
      <c r="O28" s="8" t="str">
        <f t="shared" si="3"/>
        <v>300100052893</v>
      </c>
    </row>
    <row r="29" spans="1:15">
      <c r="A29" s="8" t="str">
        <f t="shared" si="20"/>
        <v>20160624</v>
      </c>
      <c r="B29" s="8" t="str">
        <f t="shared" si="21"/>
        <v>20160624</v>
      </c>
      <c r="C29" s="8" t="str">
        <f t="shared" si="14"/>
        <v>证券买入</v>
      </c>
      <c r="D29" s="8" t="str">
        <f>"000939"</f>
        <v>000939</v>
      </c>
      <c r="E29" s="8" t="str">
        <f>"凯迪生态"</f>
        <v>凯迪生态</v>
      </c>
      <c r="F29" s="8">
        <v>7.78</v>
      </c>
      <c r="G29" s="8">
        <v>1800</v>
      </c>
      <c r="H29" s="8">
        <v>14004</v>
      </c>
      <c r="I29" s="8">
        <v>-14009</v>
      </c>
      <c r="J29" s="8">
        <v>32994.2</v>
      </c>
      <c r="K29" s="8">
        <v>3600</v>
      </c>
      <c r="L29" s="8" t="str">
        <f t="shared" si="1"/>
        <v>人民币</v>
      </c>
      <c r="M29" s="8" t="str">
        <f>"T4007048"</f>
        <v>T4007048</v>
      </c>
      <c r="N29" s="8" t="str">
        <f t="shared" si="16"/>
        <v>0149593788</v>
      </c>
      <c r="O29" s="8" t="str">
        <f t="shared" si="3"/>
        <v>300100052893</v>
      </c>
    </row>
    <row r="30" spans="1:15">
      <c r="A30" s="8" t="str">
        <f t="shared" si="20"/>
        <v>20160624</v>
      </c>
      <c r="B30" s="8" t="str">
        <f t="shared" si="21"/>
        <v>20160624</v>
      </c>
      <c r="C30" s="8" t="str">
        <f t="shared" si="14"/>
        <v>证券买入</v>
      </c>
      <c r="D30" s="8" t="str">
        <f t="shared" si="17"/>
        <v>600886</v>
      </c>
      <c r="E30" s="8" t="str">
        <f t="shared" si="18"/>
        <v>国投电力</v>
      </c>
      <c r="F30" s="8">
        <v>6.53</v>
      </c>
      <c r="G30" s="8">
        <v>5000</v>
      </c>
      <c r="H30" s="8">
        <v>32650</v>
      </c>
      <c r="I30" s="8">
        <v>-32660.78</v>
      </c>
      <c r="J30" s="8">
        <v>333.42</v>
      </c>
      <c r="K30" s="8">
        <v>12800</v>
      </c>
      <c r="L30" s="8" t="str">
        <f t="shared" si="1"/>
        <v>人民币</v>
      </c>
      <c r="M30" s="8" t="str">
        <f>"1361004436"</f>
        <v>1361004436</v>
      </c>
      <c r="N30" s="8" t="str">
        <f t="shared" ref="N30:N34" si="22">"A368402599"</f>
        <v>A368402599</v>
      </c>
      <c r="O30" s="8" t="str">
        <f t="shared" si="3"/>
        <v>300100052893</v>
      </c>
    </row>
    <row r="31" spans="1:15">
      <c r="A31" s="8" t="str">
        <f>"20160627"</f>
        <v>20160627</v>
      </c>
      <c r="B31" s="8" t="str">
        <f t="shared" ref="B31:B34" si="23">"20160627"</f>
        <v>20160627</v>
      </c>
      <c r="C31" s="8" t="str">
        <f>"银行转证券"</f>
        <v>银行转证券</v>
      </c>
      <c r="F31" s="8">
        <v>0</v>
      </c>
      <c r="G31" s="8">
        <v>0</v>
      </c>
      <c r="H31" s="8">
        <v>0</v>
      </c>
      <c r="I31" s="8">
        <v>40000</v>
      </c>
      <c r="J31" s="8">
        <v>40333.42</v>
      </c>
      <c r="K31" s="8">
        <v>0</v>
      </c>
      <c r="L31" s="8" t="str">
        <f t="shared" si="1"/>
        <v>人民币</v>
      </c>
      <c r="O31" s="8" t="str">
        <f t="shared" si="3"/>
        <v>300100052893</v>
      </c>
    </row>
    <row r="32" spans="1:15">
      <c r="A32" s="8" t="str">
        <f>"20160627"</f>
        <v>20160627</v>
      </c>
      <c r="B32" s="8" t="str">
        <f t="shared" si="23"/>
        <v>20160627</v>
      </c>
      <c r="C32" s="8" t="str">
        <f t="shared" ref="C32:C37" si="24">"证券买入"</f>
        <v>证券买入</v>
      </c>
      <c r="D32" s="8" t="str">
        <f t="shared" ref="D32:D36" si="25">"511990"</f>
        <v>511990</v>
      </c>
      <c r="E32" s="8" t="str">
        <f t="shared" ref="E32:E36" si="26">"华宝添益"</f>
        <v>华宝添益</v>
      </c>
      <c r="F32" s="8">
        <v>99.978</v>
      </c>
      <c r="G32" s="8">
        <v>400</v>
      </c>
      <c r="H32" s="8">
        <v>39991.2</v>
      </c>
      <c r="I32" s="8">
        <v>-39991.2</v>
      </c>
      <c r="J32" s="8">
        <v>342.22</v>
      </c>
      <c r="K32" s="8">
        <v>400</v>
      </c>
      <c r="L32" s="8" t="str">
        <f t="shared" si="1"/>
        <v>人民币</v>
      </c>
      <c r="M32" s="8" t="str">
        <f>"1361002259"</f>
        <v>1361002259</v>
      </c>
      <c r="N32" s="8" t="str">
        <f t="shared" si="22"/>
        <v>A368402599</v>
      </c>
      <c r="O32" s="8" t="str">
        <f t="shared" si="3"/>
        <v>300100052893</v>
      </c>
    </row>
    <row r="33" spans="1:15">
      <c r="A33" s="8" t="str">
        <f>"20160628"</f>
        <v>20160628</v>
      </c>
      <c r="B33" s="8" t="str">
        <f t="shared" si="23"/>
        <v>20160627</v>
      </c>
      <c r="C33" s="8" t="str">
        <f>"ETF 基金赎回"</f>
        <v>ETF 基金赎回</v>
      </c>
      <c r="D33" s="8" t="str">
        <f>"511991"</f>
        <v>511991</v>
      </c>
      <c r="E33" s="8" t="str">
        <f>"添益申赎"</f>
        <v>添益申赎</v>
      </c>
      <c r="F33" s="8">
        <v>0</v>
      </c>
      <c r="G33" s="8">
        <v>400</v>
      </c>
      <c r="H33" s="8">
        <v>0</v>
      </c>
      <c r="I33" s="8">
        <v>0</v>
      </c>
      <c r="J33" s="8">
        <v>342.22</v>
      </c>
      <c r="K33" s="8">
        <v>0</v>
      </c>
      <c r="L33" s="8" t="str">
        <f t="shared" si="1"/>
        <v>人民币</v>
      </c>
      <c r="M33" s="8" t="str">
        <f>"1361002345"</f>
        <v>1361002345</v>
      </c>
      <c r="N33" s="8" t="str">
        <f t="shared" si="22"/>
        <v>A368402599</v>
      </c>
      <c r="O33" s="8" t="str">
        <f t="shared" si="3"/>
        <v>300100052893</v>
      </c>
    </row>
    <row r="34" spans="1:15">
      <c r="A34" s="8" t="str">
        <f>"20160628"</f>
        <v>20160628</v>
      </c>
      <c r="B34" s="8" t="str">
        <f t="shared" si="23"/>
        <v>20160627</v>
      </c>
      <c r="C34" s="8" t="str">
        <f>"ETF 申购退款"</f>
        <v>ETF 申购退款</v>
      </c>
      <c r="D34" s="8" t="str">
        <f t="shared" si="25"/>
        <v>511990</v>
      </c>
      <c r="E34" s="8" t="str">
        <f t="shared" si="26"/>
        <v>华宝添益</v>
      </c>
      <c r="F34" s="8">
        <v>0</v>
      </c>
      <c r="G34" s="8">
        <v>0</v>
      </c>
      <c r="H34" s="8">
        <v>40002.46</v>
      </c>
      <c r="I34" s="8">
        <v>40002.46</v>
      </c>
      <c r="J34" s="8">
        <v>40344.68</v>
      </c>
      <c r="K34" s="8">
        <v>0</v>
      </c>
      <c r="L34" s="8" t="str">
        <f t="shared" si="1"/>
        <v>人民币</v>
      </c>
      <c r="N34" s="8" t="str">
        <f t="shared" si="22"/>
        <v>A368402599</v>
      </c>
      <c r="O34" s="8" t="str">
        <f t="shared" si="3"/>
        <v>300100052893</v>
      </c>
    </row>
    <row r="35" spans="1:15">
      <c r="A35" s="8" t="str">
        <f t="shared" ref="A35:A37" si="27">"20160629"</f>
        <v>20160629</v>
      </c>
      <c r="B35" s="8" t="str">
        <f t="shared" ref="B35:B38" si="28">"20160629"</f>
        <v>20160629</v>
      </c>
      <c r="C35" s="8" t="str">
        <f>"证券卖出"</f>
        <v>证券卖出</v>
      </c>
      <c r="D35" s="8" t="str">
        <f>"000939"</f>
        <v>000939</v>
      </c>
      <c r="E35" s="8" t="str">
        <f>"凯迪生态"</f>
        <v>凯迪生态</v>
      </c>
      <c r="F35" s="8">
        <v>8.09</v>
      </c>
      <c r="G35" s="8">
        <v>1800</v>
      </c>
      <c r="H35" s="8">
        <v>14562</v>
      </c>
      <c r="I35" s="8">
        <v>14542.44</v>
      </c>
      <c r="J35" s="8">
        <v>54887.12</v>
      </c>
      <c r="K35" s="8">
        <v>1800</v>
      </c>
      <c r="L35" s="8" t="str">
        <f t="shared" si="1"/>
        <v>人民币</v>
      </c>
      <c r="M35" s="8" t="str">
        <f>"T4004088"</f>
        <v>T4004088</v>
      </c>
      <c r="N35" s="8" t="str">
        <f t="shared" ref="N35:N40" si="29">"0149593788"</f>
        <v>0149593788</v>
      </c>
      <c r="O35" s="8" t="str">
        <f t="shared" si="3"/>
        <v>300100052893</v>
      </c>
    </row>
    <row r="36" spans="1:15">
      <c r="A36" s="8" t="str">
        <f t="shared" si="27"/>
        <v>20160629</v>
      </c>
      <c r="B36" s="8" t="str">
        <f t="shared" si="28"/>
        <v>20160629</v>
      </c>
      <c r="C36" s="8" t="str">
        <f t="shared" si="24"/>
        <v>证券买入</v>
      </c>
      <c r="D36" s="8" t="str">
        <f t="shared" si="25"/>
        <v>511990</v>
      </c>
      <c r="E36" s="8" t="str">
        <f t="shared" si="26"/>
        <v>华宝添益</v>
      </c>
      <c r="F36" s="8">
        <v>99.966</v>
      </c>
      <c r="G36" s="8">
        <v>400</v>
      </c>
      <c r="H36" s="8">
        <v>39986.4</v>
      </c>
      <c r="I36" s="8">
        <v>-39986.4</v>
      </c>
      <c r="J36" s="8">
        <v>14900.72</v>
      </c>
      <c r="K36" s="8">
        <v>400</v>
      </c>
      <c r="L36" s="8" t="str">
        <f t="shared" si="1"/>
        <v>人民币</v>
      </c>
      <c r="M36" s="8" t="str">
        <f>"1361006215"</f>
        <v>1361006215</v>
      </c>
      <c r="N36" s="8" t="str">
        <f t="shared" ref="N36:N42" si="30">"A368402599"</f>
        <v>A368402599</v>
      </c>
      <c r="O36" s="8" t="str">
        <f t="shared" si="3"/>
        <v>300100052893</v>
      </c>
    </row>
    <row r="37" spans="1:15">
      <c r="A37" s="8" t="str">
        <f t="shared" si="27"/>
        <v>20160629</v>
      </c>
      <c r="B37" s="8" t="str">
        <f t="shared" si="28"/>
        <v>20160629</v>
      </c>
      <c r="C37" s="8" t="str">
        <f t="shared" si="24"/>
        <v>证券买入</v>
      </c>
      <c r="D37" s="8" t="str">
        <f>"002717"</f>
        <v>002717</v>
      </c>
      <c r="E37" s="8" t="str">
        <f>"岭南园林"</f>
        <v>岭南园林</v>
      </c>
      <c r="F37" s="8">
        <v>30.09</v>
      </c>
      <c r="G37" s="8">
        <v>200</v>
      </c>
      <c r="H37" s="8">
        <v>6018</v>
      </c>
      <c r="I37" s="8">
        <v>-6023</v>
      </c>
      <c r="J37" s="8">
        <v>8877.72</v>
      </c>
      <c r="K37" s="8">
        <v>200</v>
      </c>
      <c r="L37" s="8" t="str">
        <f t="shared" si="1"/>
        <v>人民币</v>
      </c>
      <c r="M37" s="8" t="str">
        <f>"T4009229"</f>
        <v>T4009229</v>
      </c>
      <c r="N37" s="8" t="str">
        <f t="shared" si="29"/>
        <v>0149593788</v>
      </c>
      <c r="O37" s="8" t="str">
        <f t="shared" si="3"/>
        <v>300100052893</v>
      </c>
    </row>
    <row r="38" spans="1:15">
      <c r="A38" s="8" t="str">
        <f t="shared" ref="A38:A42" si="31">"20160630"</f>
        <v>20160630</v>
      </c>
      <c r="B38" s="8" t="str">
        <f t="shared" si="28"/>
        <v>20160629</v>
      </c>
      <c r="C38" s="8" t="str">
        <f>"ETF 基金赎回"</f>
        <v>ETF 基金赎回</v>
      </c>
      <c r="D38" s="8" t="str">
        <f>"511991"</f>
        <v>511991</v>
      </c>
      <c r="E38" s="8" t="str">
        <f>"添益申赎"</f>
        <v>添益申赎</v>
      </c>
      <c r="F38" s="8">
        <v>0</v>
      </c>
      <c r="G38" s="8">
        <v>400</v>
      </c>
      <c r="H38" s="8">
        <v>0</v>
      </c>
      <c r="I38" s="8">
        <v>0</v>
      </c>
      <c r="J38" s="8">
        <v>8877.72</v>
      </c>
      <c r="K38" s="8">
        <v>0</v>
      </c>
      <c r="L38" s="8" t="str">
        <f t="shared" si="1"/>
        <v>人民币</v>
      </c>
      <c r="M38" s="8" t="str">
        <f>"1361006228"</f>
        <v>1361006228</v>
      </c>
      <c r="N38" s="8" t="str">
        <f t="shared" si="30"/>
        <v>A368402599</v>
      </c>
      <c r="O38" s="8" t="str">
        <f t="shared" si="3"/>
        <v>300100052893</v>
      </c>
    </row>
    <row r="39" spans="1:15">
      <c r="A39" s="8" t="str">
        <f t="shared" si="31"/>
        <v>20160630</v>
      </c>
      <c r="B39" s="8" t="str">
        <f t="shared" ref="B39:B41" si="32">"20160630"</f>
        <v>20160630</v>
      </c>
      <c r="C39" s="8" t="str">
        <f>"证券卖出"</f>
        <v>证券卖出</v>
      </c>
      <c r="D39" s="8" t="str">
        <f>"000939"</f>
        <v>000939</v>
      </c>
      <c r="E39" s="8" t="str">
        <f>"凯迪生态"</f>
        <v>凯迪生态</v>
      </c>
      <c r="F39" s="8">
        <v>8.5</v>
      </c>
      <c r="G39" s="8">
        <v>1800</v>
      </c>
      <c r="H39" s="8">
        <v>15300</v>
      </c>
      <c r="I39" s="8">
        <v>15279.7</v>
      </c>
      <c r="J39" s="8">
        <v>24157.42</v>
      </c>
      <c r="K39" s="8">
        <v>0</v>
      </c>
      <c r="L39" s="8" t="str">
        <f t="shared" si="1"/>
        <v>人民币</v>
      </c>
      <c r="M39" s="8" t="str">
        <f>"T4003287"</f>
        <v>T4003287</v>
      </c>
      <c r="N39" s="8" t="str">
        <f t="shared" si="29"/>
        <v>0149593788</v>
      </c>
      <c r="O39" s="8" t="str">
        <f t="shared" si="3"/>
        <v>300100052893</v>
      </c>
    </row>
    <row r="40" spans="1:15">
      <c r="A40" s="8" t="str">
        <f t="shared" si="31"/>
        <v>20160630</v>
      </c>
      <c r="B40" s="8" t="str">
        <f t="shared" si="32"/>
        <v>20160630</v>
      </c>
      <c r="C40" s="8" t="str">
        <f>"证券买入"</f>
        <v>证券买入</v>
      </c>
      <c r="D40" s="8" t="str">
        <f>"000667"</f>
        <v>000667</v>
      </c>
      <c r="E40" s="8" t="str">
        <f>"美好集团"</f>
        <v>美好集团</v>
      </c>
      <c r="F40" s="8">
        <v>3.56</v>
      </c>
      <c r="G40" s="8">
        <v>3000</v>
      </c>
      <c r="H40" s="8">
        <v>10680</v>
      </c>
      <c r="I40" s="8">
        <v>-10685</v>
      </c>
      <c r="J40" s="8">
        <v>13472.42</v>
      </c>
      <c r="K40" s="8">
        <v>9000</v>
      </c>
      <c r="L40" s="8" t="str">
        <f t="shared" si="1"/>
        <v>人民币</v>
      </c>
      <c r="M40" s="8" t="str">
        <f>"T4005172"</f>
        <v>T4005172</v>
      </c>
      <c r="N40" s="8" t="str">
        <f t="shared" si="29"/>
        <v>0149593788</v>
      </c>
      <c r="O40" s="8" t="str">
        <f t="shared" si="3"/>
        <v>300100052893</v>
      </c>
    </row>
    <row r="41" spans="1:15">
      <c r="A41" s="8" t="str">
        <f t="shared" si="31"/>
        <v>20160630</v>
      </c>
      <c r="B41" s="8" t="str">
        <f t="shared" si="32"/>
        <v>20160630</v>
      </c>
      <c r="C41" s="8" t="str">
        <f>"证券买入"</f>
        <v>证券买入</v>
      </c>
      <c r="D41" s="8" t="str">
        <f>"600297"</f>
        <v>600297</v>
      </c>
      <c r="E41" s="8" t="str">
        <f>"广汇汽车"</f>
        <v>广汇汽车</v>
      </c>
      <c r="F41" s="8">
        <v>8.72</v>
      </c>
      <c r="G41" s="8">
        <v>1000</v>
      </c>
      <c r="H41" s="8">
        <v>8720</v>
      </c>
      <c r="I41" s="8">
        <v>-8725.18</v>
      </c>
      <c r="J41" s="8">
        <v>4747.24</v>
      </c>
      <c r="K41" s="8">
        <v>1000</v>
      </c>
      <c r="L41" s="8" t="str">
        <f t="shared" si="1"/>
        <v>人民币</v>
      </c>
      <c r="M41" s="8" t="str">
        <f>"1361003578"</f>
        <v>1361003578</v>
      </c>
      <c r="N41" s="8" t="str">
        <f t="shared" si="30"/>
        <v>A368402599</v>
      </c>
      <c r="O41" s="8" t="str">
        <f t="shared" si="3"/>
        <v>300100052893</v>
      </c>
    </row>
    <row r="42" spans="1:15">
      <c r="A42" s="8" t="str">
        <f t="shared" si="31"/>
        <v>20160630</v>
      </c>
      <c r="B42" s="8" t="str">
        <f>"20160629"</f>
        <v>20160629</v>
      </c>
      <c r="C42" s="8" t="str">
        <f>"ETF 申购退款"</f>
        <v>ETF 申购退款</v>
      </c>
      <c r="D42" s="8" t="str">
        <f>"511990"</f>
        <v>511990</v>
      </c>
      <c r="E42" s="8" t="str">
        <f>"华宝添益"</f>
        <v>华宝添益</v>
      </c>
      <c r="F42" s="8">
        <v>0</v>
      </c>
      <c r="G42" s="8">
        <v>0</v>
      </c>
      <c r="H42" s="8">
        <v>40002.52</v>
      </c>
      <c r="I42" s="8">
        <v>40002.52</v>
      </c>
      <c r="J42" s="8">
        <v>44749.76</v>
      </c>
      <c r="K42" s="8">
        <v>0</v>
      </c>
      <c r="L42" s="8" t="str">
        <f t="shared" si="1"/>
        <v>人民币</v>
      </c>
      <c r="N42" s="8" t="str">
        <f t="shared" si="30"/>
        <v>A368402599</v>
      </c>
      <c r="O42" s="8" t="str">
        <f t="shared" si="3"/>
        <v>300100052893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7"/>
  <sheetViews>
    <sheetView topLeftCell="A61" workbookViewId="0">
      <selection activeCell="A2" sqref="A2:K87"/>
    </sheetView>
  </sheetViews>
  <sheetFormatPr defaultColWidth="9" defaultRowHeight="13.5"/>
  <cols>
    <col min="1" max="16384" width="9" style="4"/>
  </cols>
  <sheetData>
    <row r="1" spans="1:15">
      <c r="A1" s="4" t="str">
        <f>"成交日期"</f>
        <v>成交日期</v>
      </c>
      <c r="B1" s="4" t="str">
        <f>"委托日期"</f>
        <v>委托日期</v>
      </c>
      <c r="C1" s="4" t="str">
        <f>"业务类型"</f>
        <v>业务类型</v>
      </c>
      <c r="D1" s="4" t="str">
        <f>"证券代码"</f>
        <v>证券代码</v>
      </c>
      <c r="E1" s="4" t="str">
        <f>"证券名称"</f>
        <v>证券名称</v>
      </c>
      <c r="F1" s="4" t="str">
        <f>"成交价格"</f>
        <v>成交价格</v>
      </c>
      <c r="G1" s="4" t="str">
        <f>"成交数量"</f>
        <v>成交数量</v>
      </c>
      <c r="H1" s="4" t="str">
        <f>"成交金额"</f>
        <v>成交金额</v>
      </c>
      <c r="I1" s="4" t="str">
        <f>"发生金额"</f>
        <v>发生金额</v>
      </c>
      <c r="J1" s="4" t="str">
        <f>"资金余额"</f>
        <v>资金余额</v>
      </c>
      <c r="K1" s="4" t="str">
        <f>"当前持仓"</f>
        <v>当前持仓</v>
      </c>
      <c r="L1" s="4" t="str">
        <f>"币种"</f>
        <v>币种</v>
      </c>
      <c r="M1" s="4" t="str">
        <f>"协议编号"</f>
        <v>协议编号</v>
      </c>
      <c r="N1" s="4" t="str">
        <f>"股东代码"</f>
        <v>股东代码</v>
      </c>
      <c r="O1" s="4" t="str">
        <f>"产品账号"</f>
        <v>产品账号</v>
      </c>
    </row>
    <row r="2" spans="1:15">
      <c r="A2" s="4" t="str">
        <f>"20160701"</f>
        <v>20160701</v>
      </c>
      <c r="B2" s="4" t="str">
        <f>"20160701"</f>
        <v>20160701</v>
      </c>
      <c r="C2" s="4" t="str">
        <f t="shared" ref="C2:C6" si="0">"证券卖出"</f>
        <v>证券卖出</v>
      </c>
      <c r="D2" s="4" t="str">
        <f>"510300"</f>
        <v>510300</v>
      </c>
      <c r="E2" s="4" t="str">
        <f>"300ETF"</f>
        <v>300ETF</v>
      </c>
      <c r="F2" s="4">
        <v>3.171</v>
      </c>
      <c r="G2" s="4">
        <v>2000</v>
      </c>
      <c r="H2" s="4">
        <v>6342</v>
      </c>
      <c r="I2" s="4">
        <v>6337</v>
      </c>
      <c r="J2" s="4">
        <v>51086.76</v>
      </c>
      <c r="K2" s="4">
        <v>2000</v>
      </c>
      <c r="L2" s="4" t="str">
        <f t="shared" ref="L2:L65" si="1">"人民币"</f>
        <v>人民币</v>
      </c>
      <c r="M2" s="4" t="str">
        <f>"1361001979"</f>
        <v>1361001979</v>
      </c>
      <c r="N2" s="4" t="str">
        <f t="shared" ref="N2:N10" si="2">"A368402599"</f>
        <v>A368402599</v>
      </c>
      <c r="O2" s="4" t="str">
        <f t="shared" ref="O2:O65" si="3">"300100052893"</f>
        <v>300100052893</v>
      </c>
    </row>
    <row r="3" spans="1:15">
      <c r="A3" s="4" t="str">
        <f>"20160701"</f>
        <v>20160701</v>
      </c>
      <c r="B3" s="4" t="str">
        <f>"20160701"</f>
        <v>20160701</v>
      </c>
      <c r="C3" s="4" t="str">
        <f>"证券买入"</f>
        <v>证券买入</v>
      </c>
      <c r="D3" s="4" t="str">
        <f>"600297"</f>
        <v>600297</v>
      </c>
      <c r="E3" s="4" t="str">
        <f>"广汇汽车"</f>
        <v>广汇汽车</v>
      </c>
      <c r="F3" s="4">
        <v>8.79</v>
      </c>
      <c r="G3" s="4">
        <v>1000</v>
      </c>
      <c r="H3" s="4">
        <v>8790</v>
      </c>
      <c r="I3" s="4">
        <v>-8795.18</v>
      </c>
      <c r="J3" s="4">
        <v>42291.58</v>
      </c>
      <c r="K3" s="4">
        <v>2000</v>
      </c>
      <c r="L3" s="4" t="str">
        <f t="shared" si="1"/>
        <v>人民币</v>
      </c>
      <c r="M3" s="4" t="str">
        <f>"1361003479"</f>
        <v>1361003479</v>
      </c>
      <c r="N3" s="4" t="str">
        <f t="shared" si="2"/>
        <v>A368402599</v>
      </c>
      <c r="O3" s="4" t="str">
        <f t="shared" si="3"/>
        <v>300100052893</v>
      </c>
    </row>
    <row r="4" spans="1:15">
      <c r="A4" s="4" t="str">
        <f t="shared" ref="A4:A8" si="4">"20160704"</f>
        <v>20160704</v>
      </c>
      <c r="B4" s="4" t="str">
        <f t="shared" ref="B4:B10" si="5">"20160704"</f>
        <v>20160704</v>
      </c>
      <c r="C4" s="4" t="str">
        <f>"红利入账"</f>
        <v>红利入账</v>
      </c>
      <c r="D4" s="4" t="str">
        <f>"600886"</f>
        <v>600886</v>
      </c>
      <c r="E4" s="4" t="str">
        <f>"国投电力"</f>
        <v>国投电力</v>
      </c>
      <c r="F4" s="4">
        <v>0</v>
      </c>
      <c r="G4" s="4">
        <v>10000</v>
      </c>
      <c r="H4" s="4">
        <v>2799.3</v>
      </c>
      <c r="I4" s="4">
        <v>2799.3</v>
      </c>
      <c r="J4" s="4">
        <v>45090.88</v>
      </c>
      <c r="K4" s="4">
        <v>0</v>
      </c>
      <c r="L4" s="4" t="str">
        <f t="shared" si="1"/>
        <v>人民币</v>
      </c>
      <c r="N4" s="4" t="str">
        <f t="shared" si="2"/>
        <v>A368402599</v>
      </c>
      <c r="O4" s="4" t="str">
        <f t="shared" si="3"/>
        <v>300100052893</v>
      </c>
    </row>
    <row r="5" spans="1:15">
      <c r="A5" s="4" t="str">
        <f t="shared" si="4"/>
        <v>20160704</v>
      </c>
      <c r="B5" s="4" t="str">
        <f t="shared" si="5"/>
        <v>20160704</v>
      </c>
      <c r="C5" s="4" t="str">
        <f t="shared" si="0"/>
        <v>证券卖出</v>
      </c>
      <c r="D5" s="4" t="str">
        <f>"600886"</f>
        <v>600886</v>
      </c>
      <c r="E5" s="4" t="str">
        <f>"国投电力"</f>
        <v>国投电力</v>
      </c>
      <c r="F5" s="4">
        <v>6.73</v>
      </c>
      <c r="G5" s="4">
        <v>2800</v>
      </c>
      <c r="H5" s="4">
        <v>18844</v>
      </c>
      <c r="I5" s="4">
        <v>18818.94</v>
      </c>
      <c r="J5" s="4">
        <v>63909.82</v>
      </c>
      <c r="K5" s="4">
        <v>10000</v>
      </c>
      <c r="L5" s="4" t="str">
        <f t="shared" si="1"/>
        <v>人民币</v>
      </c>
      <c r="M5" s="4" t="str">
        <f>"1361003569"</f>
        <v>1361003569</v>
      </c>
      <c r="N5" s="4" t="str">
        <f t="shared" si="2"/>
        <v>A368402599</v>
      </c>
      <c r="O5" s="4" t="str">
        <f t="shared" si="3"/>
        <v>300100052893</v>
      </c>
    </row>
    <row r="6" spans="1:15">
      <c r="A6" s="4" t="str">
        <f t="shared" si="4"/>
        <v>20160704</v>
      </c>
      <c r="B6" s="4" t="str">
        <f t="shared" si="5"/>
        <v>20160704</v>
      </c>
      <c r="C6" s="4" t="str">
        <f t="shared" si="0"/>
        <v>证券卖出</v>
      </c>
      <c r="D6" s="4" t="str">
        <f>"000667"</f>
        <v>000667</v>
      </c>
      <c r="E6" s="4" t="str">
        <f>"美好集团"</f>
        <v>美好集团</v>
      </c>
      <c r="F6" s="4">
        <v>3.65</v>
      </c>
      <c r="G6" s="4">
        <v>3000</v>
      </c>
      <c r="H6" s="4">
        <v>10950</v>
      </c>
      <c r="I6" s="4">
        <v>10934.05</v>
      </c>
      <c r="J6" s="4">
        <v>74843.87</v>
      </c>
      <c r="K6" s="4">
        <v>6000</v>
      </c>
      <c r="L6" s="4" t="str">
        <f t="shared" si="1"/>
        <v>人民币</v>
      </c>
      <c r="M6" s="4" t="str">
        <f>"T4005781"</f>
        <v>T4005781</v>
      </c>
      <c r="N6" s="4" t="str">
        <f>"0149593788"</f>
        <v>0149593788</v>
      </c>
      <c r="O6" s="4" t="str">
        <f t="shared" si="3"/>
        <v>300100052893</v>
      </c>
    </row>
    <row r="7" spans="1:15">
      <c r="A7" s="4" t="str">
        <f t="shared" si="4"/>
        <v>20160704</v>
      </c>
      <c r="B7" s="4" t="str">
        <f t="shared" si="5"/>
        <v>20160704</v>
      </c>
      <c r="C7" s="4" t="str">
        <f>"证券买入"</f>
        <v>证券买入</v>
      </c>
      <c r="D7" s="4" t="str">
        <f>"511990"</f>
        <v>511990</v>
      </c>
      <c r="E7" s="4" t="str">
        <f>"华宝添益"</f>
        <v>华宝添益</v>
      </c>
      <c r="F7" s="4">
        <v>99.987</v>
      </c>
      <c r="G7" s="4">
        <v>400</v>
      </c>
      <c r="H7" s="4">
        <v>39994.8</v>
      </c>
      <c r="I7" s="4">
        <v>-39994.8</v>
      </c>
      <c r="J7" s="4">
        <v>34849.07</v>
      </c>
      <c r="K7" s="4">
        <v>400</v>
      </c>
      <c r="L7" s="4" t="str">
        <f t="shared" si="1"/>
        <v>人民币</v>
      </c>
      <c r="M7" s="4" t="str">
        <f>"1361004144"</f>
        <v>1361004144</v>
      </c>
      <c r="N7" s="4" t="str">
        <f t="shared" si="2"/>
        <v>A368402599</v>
      </c>
      <c r="O7" s="4" t="str">
        <f t="shared" si="3"/>
        <v>300100052893</v>
      </c>
    </row>
    <row r="8" spans="1:15">
      <c r="A8" s="4" t="str">
        <f t="shared" si="4"/>
        <v>20160704</v>
      </c>
      <c r="B8" s="4" t="str">
        <f t="shared" si="5"/>
        <v>20160704</v>
      </c>
      <c r="C8" s="4" t="str">
        <f>"证券卖出"</f>
        <v>证券卖出</v>
      </c>
      <c r="D8" s="4" t="str">
        <f>"600219"</f>
        <v>600219</v>
      </c>
      <c r="E8" s="4" t="str">
        <f>"南山铝业"</f>
        <v>南山铝业</v>
      </c>
      <c r="F8" s="4">
        <v>7.85</v>
      </c>
      <c r="G8" s="4">
        <v>500</v>
      </c>
      <c r="H8" s="4">
        <v>3925</v>
      </c>
      <c r="I8" s="4">
        <v>3915.99</v>
      </c>
      <c r="J8" s="4">
        <v>38765.06</v>
      </c>
      <c r="K8" s="4">
        <v>4500</v>
      </c>
      <c r="L8" s="4" t="str">
        <f t="shared" si="1"/>
        <v>人民币</v>
      </c>
      <c r="M8" s="4" t="str">
        <f>"1361004151"</f>
        <v>1361004151</v>
      </c>
      <c r="N8" s="4" t="str">
        <f t="shared" si="2"/>
        <v>A368402599</v>
      </c>
      <c r="O8" s="4" t="str">
        <f t="shared" si="3"/>
        <v>300100052893</v>
      </c>
    </row>
    <row r="9" spans="1:15">
      <c r="A9" s="4" t="str">
        <f>"20160705"</f>
        <v>20160705</v>
      </c>
      <c r="B9" s="4" t="str">
        <f t="shared" si="5"/>
        <v>20160704</v>
      </c>
      <c r="C9" s="4" t="str">
        <f>"ETF 基金赎回"</f>
        <v>ETF 基金赎回</v>
      </c>
      <c r="D9" s="4" t="str">
        <f>"511991"</f>
        <v>511991</v>
      </c>
      <c r="E9" s="4" t="str">
        <f>"添益申赎"</f>
        <v>添益申赎</v>
      </c>
      <c r="F9" s="4">
        <v>0</v>
      </c>
      <c r="G9" s="4">
        <v>400</v>
      </c>
      <c r="H9" s="4">
        <v>0</v>
      </c>
      <c r="I9" s="4">
        <v>0</v>
      </c>
      <c r="J9" s="4">
        <v>38765.06</v>
      </c>
      <c r="K9" s="4">
        <v>0</v>
      </c>
      <c r="L9" s="4" t="str">
        <f t="shared" si="1"/>
        <v>人民币</v>
      </c>
      <c r="M9" s="4" t="str">
        <f>"1361004232"</f>
        <v>1361004232</v>
      </c>
      <c r="N9" s="4" t="str">
        <f t="shared" si="2"/>
        <v>A368402599</v>
      </c>
      <c r="O9" s="4" t="str">
        <f t="shared" si="3"/>
        <v>300100052893</v>
      </c>
    </row>
    <row r="10" spans="1:15">
      <c r="A10" s="4" t="str">
        <f>"20160705"</f>
        <v>20160705</v>
      </c>
      <c r="B10" s="4" t="str">
        <f t="shared" si="5"/>
        <v>20160704</v>
      </c>
      <c r="C10" s="4" t="str">
        <f>"ETF 申购退款"</f>
        <v>ETF 申购退款</v>
      </c>
      <c r="D10" s="4" t="str">
        <f>"511990"</f>
        <v>511990</v>
      </c>
      <c r="E10" s="4" t="str">
        <f>"华宝添益"</f>
        <v>华宝添益</v>
      </c>
      <c r="F10" s="4">
        <v>0</v>
      </c>
      <c r="G10" s="4">
        <v>0</v>
      </c>
      <c r="H10" s="4">
        <v>40002.57</v>
      </c>
      <c r="I10" s="4">
        <v>40002.57</v>
      </c>
      <c r="J10" s="4">
        <v>78767.63</v>
      </c>
      <c r="K10" s="4">
        <v>0</v>
      </c>
      <c r="L10" s="4" t="str">
        <f t="shared" si="1"/>
        <v>人民币</v>
      </c>
      <c r="N10" s="4" t="str">
        <f t="shared" si="2"/>
        <v>A368402599</v>
      </c>
      <c r="O10" s="4" t="str">
        <f t="shared" si="3"/>
        <v>300100052893</v>
      </c>
    </row>
    <row r="11" spans="1:15">
      <c r="A11" s="4" t="str">
        <f>"20160706"</f>
        <v>20160706</v>
      </c>
      <c r="B11" s="4" t="str">
        <f>"20160706"</f>
        <v>20160706</v>
      </c>
      <c r="C11" s="4" t="str">
        <f t="shared" ref="C11:C17" si="6">"证券卖出"</f>
        <v>证券卖出</v>
      </c>
      <c r="D11" s="4" t="str">
        <f>"002717"</f>
        <v>002717</v>
      </c>
      <c r="E11" s="4" t="str">
        <f>"岭南园林"</f>
        <v>岭南园林</v>
      </c>
      <c r="F11" s="4">
        <v>29.8</v>
      </c>
      <c r="G11" s="4">
        <v>200</v>
      </c>
      <c r="H11" s="4">
        <v>5960</v>
      </c>
      <c r="I11" s="4">
        <v>5949.04</v>
      </c>
      <c r="J11" s="4">
        <v>84716.67</v>
      </c>
      <c r="K11" s="4">
        <v>0</v>
      </c>
      <c r="L11" s="4" t="str">
        <f t="shared" si="1"/>
        <v>人民币</v>
      </c>
      <c r="M11" s="4" t="str">
        <f>"T4003571"</f>
        <v>T4003571</v>
      </c>
      <c r="N11" s="4" t="str">
        <f>"0149593788"</f>
        <v>0149593788</v>
      </c>
      <c r="O11" s="4" t="str">
        <f t="shared" si="3"/>
        <v>300100052893</v>
      </c>
    </row>
    <row r="12" spans="1:15">
      <c r="A12" s="4" t="str">
        <f t="shared" ref="A12:A15" si="7">"20160707"</f>
        <v>20160707</v>
      </c>
      <c r="B12" s="4" t="str">
        <f t="shared" ref="B12:B15" si="8">"20160707"</f>
        <v>20160707</v>
      </c>
      <c r="C12" s="4" t="str">
        <f t="shared" ref="C12:C15" si="9">"证券买入"</f>
        <v>证券买入</v>
      </c>
      <c r="D12" s="4" t="str">
        <f>"000667"</f>
        <v>000667</v>
      </c>
      <c r="E12" s="4" t="str">
        <f>"美好集团"</f>
        <v>美好集团</v>
      </c>
      <c r="F12" s="4">
        <v>3.63</v>
      </c>
      <c r="G12" s="4">
        <v>3000</v>
      </c>
      <c r="H12" s="4">
        <v>10890</v>
      </c>
      <c r="I12" s="4">
        <v>-10895</v>
      </c>
      <c r="J12" s="4">
        <v>73821.67</v>
      </c>
      <c r="K12" s="4">
        <v>9000</v>
      </c>
      <c r="L12" s="4" t="str">
        <f t="shared" si="1"/>
        <v>人民币</v>
      </c>
      <c r="M12" s="4" t="str">
        <f>"T4005817"</f>
        <v>T4005817</v>
      </c>
      <c r="N12" s="4" t="str">
        <f>"0149593788"</f>
        <v>0149593788</v>
      </c>
      <c r="O12" s="4" t="str">
        <f t="shared" si="3"/>
        <v>300100052893</v>
      </c>
    </row>
    <row r="13" spans="1:15">
      <c r="A13" s="4" t="str">
        <f t="shared" si="7"/>
        <v>20160707</v>
      </c>
      <c r="B13" s="4" t="str">
        <f t="shared" si="8"/>
        <v>20160707</v>
      </c>
      <c r="C13" s="4" t="str">
        <f t="shared" si="9"/>
        <v>证券买入</v>
      </c>
      <c r="D13" s="4" t="str">
        <f>"600219"</f>
        <v>600219</v>
      </c>
      <c r="E13" s="4" t="str">
        <f>"南山铝业"</f>
        <v>南山铝业</v>
      </c>
      <c r="F13" s="4">
        <v>8.13</v>
      </c>
      <c r="G13" s="4">
        <v>2000</v>
      </c>
      <c r="H13" s="4">
        <v>16260</v>
      </c>
      <c r="I13" s="4">
        <v>-16265.36</v>
      </c>
      <c r="J13" s="4">
        <v>57556.31</v>
      </c>
      <c r="K13" s="4">
        <v>6500</v>
      </c>
      <c r="L13" s="4" t="str">
        <f t="shared" si="1"/>
        <v>人民币</v>
      </c>
      <c r="M13" s="4" t="str">
        <f>"1361003524"</f>
        <v>1361003524</v>
      </c>
      <c r="N13" s="4" t="str">
        <f t="shared" ref="N13:N19" si="10">"A368402599"</f>
        <v>A368402599</v>
      </c>
      <c r="O13" s="4" t="str">
        <f t="shared" si="3"/>
        <v>300100052893</v>
      </c>
    </row>
    <row r="14" spans="1:15">
      <c r="A14" s="4" t="str">
        <f t="shared" si="7"/>
        <v>20160707</v>
      </c>
      <c r="B14" s="4" t="str">
        <f t="shared" si="8"/>
        <v>20160707</v>
      </c>
      <c r="C14" s="4" t="str">
        <f t="shared" si="6"/>
        <v>证券卖出</v>
      </c>
      <c r="D14" s="4" t="str">
        <f>"600297"</f>
        <v>600297</v>
      </c>
      <c r="E14" s="4" t="str">
        <f>"广汇汽车"</f>
        <v>广汇汽车</v>
      </c>
      <c r="F14" s="4">
        <v>8.95</v>
      </c>
      <c r="G14" s="4">
        <v>2000</v>
      </c>
      <c r="H14" s="4">
        <v>17900</v>
      </c>
      <c r="I14" s="4">
        <v>17876.18</v>
      </c>
      <c r="J14" s="4">
        <v>75432.49</v>
      </c>
      <c r="K14" s="4">
        <v>0</v>
      </c>
      <c r="L14" s="4" t="str">
        <f t="shared" si="1"/>
        <v>人民币</v>
      </c>
      <c r="M14" s="4" t="str">
        <f>"1361003985"</f>
        <v>1361003985</v>
      </c>
      <c r="N14" s="4" t="str">
        <f t="shared" si="10"/>
        <v>A368402599</v>
      </c>
      <c r="O14" s="4" t="str">
        <f t="shared" si="3"/>
        <v>300100052893</v>
      </c>
    </row>
    <row r="15" spans="1:15">
      <c r="A15" s="4" t="str">
        <f t="shared" si="7"/>
        <v>20160707</v>
      </c>
      <c r="B15" s="4" t="str">
        <f t="shared" si="8"/>
        <v>20160707</v>
      </c>
      <c r="C15" s="4" t="str">
        <f t="shared" si="9"/>
        <v>证券买入</v>
      </c>
      <c r="D15" s="4" t="str">
        <f t="shared" ref="D15:D19" si="11">"600894"</f>
        <v>600894</v>
      </c>
      <c r="E15" s="4" t="str">
        <f t="shared" ref="E15:E19" si="12">"广日股份"</f>
        <v>广日股份</v>
      </c>
      <c r="F15" s="4">
        <v>13.88</v>
      </c>
      <c r="G15" s="4">
        <v>2000</v>
      </c>
      <c r="H15" s="4">
        <v>27760</v>
      </c>
      <c r="I15" s="4">
        <v>-27769.17</v>
      </c>
      <c r="J15" s="4">
        <v>47663.32</v>
      </c>
      <c r="K15" s="4">
        <v>2000</v>
      </c>
      <c r="L15" s="4" t="str">
        <f t="shared" si="1"/>
        <v>人民币</v>
      </c>
      <c r="M15" s="4" t="str">
        <f>"1361004325"</f>
        <v>1361004325</v>
      </c>
      <c r="N15" s="4" t="str">
        <f t="shared" si="10"/>
        <v>A368402599</v>
      </c>
      <c r="O15" s="4" t="str">
        <f t="shared" si="3"/>
        <v>300100052893</v>
      </c>
    </row>
    <row r="16" spans="1:15">
      <c r="A16" s="4" t="str">
        <f t="shared" ref="A16:A20" si="13">"20160708"</f>
        <v>20160708</v>
      </c>
      <c r="B16" s="4" t="str">
        <f t="shared" ref="B16:B20" si="14">"20160708"</f>
        <v>20160708</v>
      </c>
      <c r="C16" s="4" t="str">
        <f t="shared" si="6"/>
        <v>证券卖出</v>
      </c>
      <c r="D16" s="4" t="str">
        <f>"600219"</f>
        <v>600219</v>
      </c>
      <c r="E16" s="4" t="str">
        <f>"南山铝业"</f>
        <v>南山铝业</v>
      </c>
      <c r="F16" s="4">
        <v>8.01</v>
      </c>
      <c r="G16" s="4">
        <v>2000</v>
      </c>
      <c r="H16" s="4">
        <v>16020</v>
      </c>
      <c r="I16" s="4">
        <v>15998.66</v>
      </c>
      <c r="J16" s="4">
        <v>63661.98</v>
      </c>
      <c r="K16" s="4">
        <v>4500</v>
      </c>
      <c r="L16" s="4" t="str">
        <f t="shared" si="1"/>
        <v>人民币</v>
      </c>
      <c r="M16" s="4" t="str">
        <f>"1361001382"</f>
        <v>1361001382</v>
      </c>
      <c r="N16" s="4" t="str">
        <f t="shared" si="10"/>
        <v>A368402599</v>
      </c>
      <c r="O16" s="4" t="str">
        <f t="shared" si="3"/>
        <v>300100052893</v>
      </c>
    </row>
    <row r="17" spans="1:15">
      <c r="A17" s="4" t="str">
        <f t="shared" si="13"/>
        <v>20160708</v>
      </c>
      <c r="B17" s="4" t="str">
        <f t="shared" si="14"/>
        <v>20160708</v>
      </c>
      <c r="C17" s="4" t="str">
        <f t="shared" si="6"/>
        <v>证券卖出</v>
      </c>
      <c r="D17" s="4" t="str">
        <f t="shared" si="11"/>
        <v>600894</v>
      </c>
      <c r="E17" s="4" t="str">
        <f t="shared" si="12"/>
        <v>广日股份</v>
      </c>
      <c r="F17" s="4">
        <v>13.98</v>
      </c>
      <c r="G17" s="4">
        <v>2000</v>
      </c>
      <c r="H17" s="4">
        <v>27960</v>
      </c>
      <c r="I17" s="4">
        <v>27922.81</v>
      </c>
      <c r="J17" s="4">
        <v>91584.79</v>
      </c>
      <c r="K17" s="4">
        <v>0</v>
      </c>
      <c r="L17" s="4" t="str">
        <f t="shared" si="1"/>
        <v>人民币</v>
      </c>
      <c r="M17" s="4" t="str">
        <f>"1361001921"</f>
        <v>1361001921</v>
      </c>
      <c r="N17" s="4" t="str">
        <f t="shared" si="10"/>
        <v>A368402599</v>
      </c>
      <c r="O17" s="4" t="str">
        <f t="shared" si="3"/>
        <v>300100052893</v>
      </c>
    </row>
    <row r="18" spans="1:15">
      <c r="A18" s="4" t="str">
        <f t="shared" si="13"/>
        <v>20160708</v>
      </c>
      <c r="B18" s="4" t="str">
        <f t="shared" si="14"/>
        <v>20160708</v>
      </c>
      <c r="C18" s="4" t="str">
        <f t="shared" ref="C18:C20" si="15">"证券买入"</f>
        <v>证券买入</v>
      </c>
      <c r="D18" s="4" t="str">
        <f t="shared" ref="D18:D22" si="16">"600297"</f>
        <v>600297</v>
      </c>
      <c r="E18" s="4" t="str">
        <f t="shared" ref="E18:E22" si="17">"广汇汽车"</f>
        <v>广汇汽车</v>
      </c>
      <c r="F18" s="4">
        <v>8.83</v>
      </c>
      <c r="G18" s="4">
        <v>2000</v>
      </c>
      <c r="H18" s="4">
        <v>17660</v>
      </c>
      <c r="I18" s="4">
        <v>-17665.82</v>
      </c>
      <c r="J18" s="4">
        <v>73918.97</v>
      </c>
      <c r="K18" s="4">
        <v>2000</v>
      </c>
      <c r="L18" s="4" t="str">
        <f t="shared" si="1"/>
        <v>人民币</v>
      </c>
      <c r="M18" s="4" t="str">
        <f>"1361002493"</f>
        <v>1361002493</v>
      </c>
      <c r="N18" s="4" t="str">
        <f t="shared" si="10"/>
        <v>A368402599</v>
      </c>
      <c r="O18" s="4" t="str">
        <f t="shared" si="3"/>
        <v>300100052893</v>
      </c>
    </row>
    <row r="19" spans="1:15">
      <c r="A19" s="4" t="str">
        <f t="shared" si="13"/>
        <v>20160708</v>
      </c>
      <c r="B19" s="4" t="str">
        <f t="shared" si="14"/>
        <v>20160708</v>
      </c>
      <c r="C19" s="4" t="str">
        <f t="shared" si="15"/>
        <v>证券买入</v>
      </c>
      <c r="D19" s="4" t="str">
        <f t="shared" si="11"/>
        <v>600894</v>
      </c>
      <c r="E19" s="4" t="str">
        <f t="shared" si="12"/>
        <v>广日股份</v>
      </c>
      <c r="F19" s="4">
        <v>14.05</v>
      </c>
      <c r="G19" s="4">
        <v>2000</v>
      </c>
      <c r="H19" s="4">
        <v>28100</v>
      </c>
      <c r="I19" s="4">
        <v>-28109.27</v>
      </c>
      <c r="J19" s="4">
        <v>45809.7</v>
      </c>
      <c r="K19" s="4">
        <v>2000</v>
      </c>
      <c r="L19" s="4" t="str">
        <f t="shared" si="1"/>
        <v>人民币</v>
      </c>
      <c r="M19" s="4" t="str">
        <f>"1361002895"</f>
        <v>1361002895</v>
      </c>
      <c r="N19" s="4" t="str">
        <f t="shared" si="10"/>
        <v>A368402599</v>
      </c>
      <c r="O19" s="4" t="str">
        <f t="shared" si="3"/>
        <v>300100052893</v>
      </c>
    </row>
    <row r="20" spans="1:15">
      <c r="A20" s="4" t="str">
        <f t="shared" si="13"/>
        <v>20160708</v>
      </c>
      <c r="B20" s="4" t="str">
        <f t="shared" si="14"/>
        <v>20160708</v>
      </c>
      <c r="C20" s="4" t="str">
        <f t="shared" si="15"/>
        <v>证券买入</v>
      </c>
      <c r="D20" s="4" t="str">
        <f>"000667"</f>
        <v>000667</v>
      </c>
      <c r="E20" s="4" t="str">
        <f>"美好集团"</f>
        <v>美好集团</v>
      </c>
      <c r="F20" s="4">
        <v>3.62</v>
      </c>
      <c r="G20" s="4">
        <v>3000</v>
      </c>
      <c r="H20" s="4">
        <v>10860</v>
      </c>
      <c r="I20" s="4">
        <v>-10865</v>
      </c>
      <c r="J20" s="4">
        <v>34944.7</v>
      </c>
      <c r="K20" s="4">
        <v>12000</v>
      </c>
      <c r="L20" s="4" t="str">
        <f t="shared" si="1"/>
        <v>人民币</v>
      </c>
      <c r="M20" s="4" t="str">
        <f>"T4005310"</f>
        <v>T4005310</v>
      </c>
      <c r="N20" s="4" t="str">
        <f t="shared" ref="N20:N25" si="18">"0149593788"</f>
        <v>0149593788</v>
      </c>
      <c r="O20" s="4" t="str">
        <f t="shared" si="3"/>
        <v>300100052893</v>
      </c>
    </row>
    <row r="21" spans="1:15">
      <c r="A21" s="4" t="str">
        <f>"20160711"</f>
        <v>20160711</v>
      </c>
      <c r="B21" s="4" t="str">
        <f>"20160711"</f>
        <v>20160711</v>
      </c>
      <c r="C21" s="4" t="str">
        <f t="shared" ref="C21:C24" si="19">"证券卖出"</f>
        <v>证券卖出</v>
      </c>
      <c r="D21" s="4" t="str">
        <f t="shared" si="16"/>
        <v>600297</v>
      </c>
      <c r="E21" s="4" t="str">
        <f t="shared" si="17"/>
        <v>广汇汽车</v>
      </c>
      <c r="F21" s="4">
        <v>8.91</v>
      </c>
      <c r="G21" s="4">
        <v>2000</v>
      </c>
      <c r="H21" s="4">
        <v>17820</v>
      </c>
      <c r="I21" s="4">
        <v>17796.3</v>
      </c>
      <c r="J21" s="4">
        <v>52741</v>
      </c>
      <c r="K21" s="4">
        <v>0</v>
      </c>
      <c r="L21" s="4" t="str">
        <f t="shared" si="1"/>
        <v>人民币</v>
      </c>
      <c r="M21" s="4" t="str">
        <f>"1361004611"</f>
        <v>1361004611</v>
      </c>
      <c r="N21" s="4" t="str">
        <f t="shared" ref="N21:N24" si="20">"A368402599"</f>
        <v>A368402599</v>
      </c>
      <c r="O21" s="4" t="str">
        <f t="shared" si="3"/>
        <v>300100052893</v>
      </c>
    </row>
    <row r="22" spans="1:15">
      <c r="A22" s="4" t="str">
        <f>"20160712"</f>
        <v>20160712</v>
      </c>
      <c r="B22" s="4" t="str">
        <f>"20160712"</f>
        <v>20160712</v>
      </c>
      <c r="C22" s="4" t="str">
        <f t="shared" ref="C22:C26" si="21">"证券买入"</f>
        <v>证券买入</v>
      </c>
      <c r="D22" s="4" t="str">
        <f t="shared" si="16"/>
        <v>600297</v>
      </c>
      <c r="E22" s="4" t="str">
        <f t="shared" si="17"/>
        <v>广汇汽车</v>
      </c>
      <c r="F22" s="4">
        <v>8.82</v>
      </c>
      <c r="G22" s="4">
        <v>2000</v>
      </c>
      <c r="H22" s="4">
        <v>17640</v>
      </c>
      <c r="I22" s="4">
        <v>-17645.82</v>
      </c>
      <c r="J22" s="4">
        <v>35095.18</v>
      </c>
      <c r="K22" s="4">
        <v>2000</v>
      </c>
      <c r="L22" s="4" t="str">
        <f t="shared" si="1"/>
        <v>人民币</v>
      </c>
      <c r="M22" s="4" t="str">
        <f>"1361001373"</f>
        <v>1361001373</v>
      </c>
      <c r="N22" s="4" t="str">
        <f t="shared" si="20"/>
        <v>A368402599</v>
      </c>
      <c r="O22" s="4" t="str">
        <f t="shared" si="3"/>
        <v>300100052893</v>
      </c>
    </row>
    <row r="23" spans="1:15">
      <c r="A23" s="4" t="str">
        <f>"20160714"</f>
        <v>20160714</v>
      </c>
      <c r="B23" s="4" t="str">
        <f>"20160714"</f>
        <v>20160714</v>
      </c>
      <c r="C23" s="4" t="str">
        <f t="shared" si="19"/>
        <v>证券卖出</v>
      </c>
      <c r="D23" s="4" t="str">
        <f>"000667"</f>
        <v>000667</v>
      </c>
      <c r="E23" s="4" t="str">
        <f>"美好集团"</f>
        <v>美好集团</v>
      </c>
      <c r="F23" s="4">
        <v>3.9</v>
      </c>
      <c r="G23" s="4">
        <v>3000</v>
      </c>
      <c r="H23" s="4">
        <v>11700</v>
      </c>
      <c r="I23" s="4">
        <v>11683.3</v>
      </c>
      <c r="J23" s="4">
        <v>46778.48</v>
      </c>
      <c r="K23" s="4">
        <v>9000</v>
      </c>
      <c r="L23" s="4" t="str">
        <f t="shared" si="1"/>
        <v>人民币</v>
      </c>
      <c r="M23" s="4" t="str">
        <f>"T4002013"</f>
        <v>T4002013</v>
      </c>
      <c r="N23" s="4" t="str">
        <f t="shared" si="18"/>
        <v>0149593788</v>
      </c>
      <c r="O23" s="4" t="str">
        <f t="shared" si="3"/>
        <v>300100052893</v>
      </c>
    </row>
    <row r="24" spans="1:15">
      <c r="A24" s="4" t="str">
        <f t="shared" ref="A24:A26" si="22">"20160715"</f>
        <v>20160715</v>
      </c>
      <c r="B24" s="4" t="str">
        <f t="shared" ref="B24:B26" si="23">"20160715"</f>
        <v>20160715</v>
      </c>
      <c r="C24" s="4" t="str">
        <f t="shared" si="19"/>
        <v>证券卖出</v>
      </c>
      <c r="D24" s="4" t="str">
        <f>"600894"</f>
        <v>600894</v>
      </c>
      <c r="E24" s="4" t="str">
        <f>"广日股份"</f>
        <v>广日股份</v>
      </c>
      <c r="F24" s="4">
        <v>14.09</v>
      </c>
      <c r="G24" s="4">
        <v>2000</v>
      </c>
      <c r="H24" s="4">
        <v>28180</v>
      </c>
      <c r="I24" s="4">
        <v>28142.52</v>
      </c>
      <c r="J24" s="4">
        <v>74921</v>
      </c>
      <c r="K24" s="4">
        <v>0</v>
      </c>
      <c r="L24" s="4" t="str">
        <f t="shared" si="1"/>
        <v>人民币</v>
      </c>
      <c r="M24" s="4" t="str">
        <f>"1361000932"</f>
        <v>1361000932</v>
      </c>
      <c r="N24" s="4" t="str">
        <f t="shared" si="20"/>
        <v>A368402599</v>
      </c>
      <c r="O24" s="4" t="str">
        <f t="shared" si="3"/>
        <v>300100052893</v>
      </c>
    </row>
    <row r="25" spans="1:15">
      <c r="A25" s="4" t="str">
        <f t="shared" si="22"/>
        <v>20160715</v>
      </c>
      <c r="B25" s="4" t="str">
        <f t="shared" si="23"/>
        <v>20160715</v>
      </c>
      <c r="C25" s="4" t="str">
        <f t="shared" si="21"/>
        <v>证券买入</v>
      </c>
      <c r="D25" s="4" t="str">
        <f>"002183"</f>
        <v>002183</v>
      </c>
      <c r="E25" s="4" t="str">
        <f>"怡 亚 通"</f>
        <v>怡 亚 通</v>
      </c>
      <c r="F25" s="4">
        <v>14.18</v>
      </c>
      <c r="G25" s="4">
        <v>1000</v>
      </c>
      <c r="H25" s="4">
        <v>14180</v>
      </c>
      <c r="I25" s="4">
        <v>-14185</v>
      </c>
      <c r="J25" s="4">
        <v>60736</v>
      </c>
      <c r="K25" s="4">
        <v>1000</v>
      </c>
      <c r="L25" s="4" t="str">
        <f t="shared" si="1"/>
        <v>人民币</v>
      </c>
      <c r="M25" s="4" t="str">
        <f>"T4005900"</f>
        <v>T4005900</v>
      </c>
      <c r="N25" s="4" t="str">
        <f t="shared" si="18"/>
        <v>0149593788</v>
      </c>
      <c r="O25" s="4" t="str">
        <f t="shared" si="3"/>
        <v>300100052893</v>
      </c>
    </row>
    <row r="26" spans="1:15">
      <c r="A26" s="4" t="str">
        <f t="shared" si="22"/>
        <v>20160715</v>
      </c>
      <c r="B26" s="4" t="str">
        <f t="shared" si="23"/>
        <v>20160715</v>
      </c>
      <c r="C26" s="4" t="str">
        <f t="shared" si="21"/>
        <v>证券买入</v>
      </c>
      <c r="D26" s="4" t="str">
        <f>"600886"</f>
        <v>600886</v>
      </c>
      <c r="E26" s="4" t="str">
        <f>"国投电力"</f>
        <v>国投电力</v>
      </c>
      <c r="F26" s="4">
        <v>6.62</v>
      </c>
      <c r="G26" s="4">
        <v>2000</v>
      </c>
      <c r="H26" s="4">
        <v>13240</v>
      </c>
      <c r="I26" s="4">
        <v>-13245.26</v>
      </c>
      <c r="J26" s="4">
        <v>47490.74</v>
      </c>
      <c r="K26" s="4">
        <v>12000</v>
      </c>
      <c r="L26" s="4" t="str">
        <f t="shared" si="1"/>
        <v>人民币</v>
      </c>
      <c r="M26" s="4" t="str">
        <f>"1361004757"</f>
        <v>1361004757</v>
      </c>
      <c r="N26" s="4" t="str">
        <f t="shared" ref="N26:N30" si="24">"A368402599"</f>
        <v>A368402599</v>
      </c>
      <c r="O26" s="4" t="str">
        <f t="shared" si="3"/>
        <v>300100052893</v>
      </c>
    </row>
    <row r="27" spans="1:15">
      <c r="A27" s="4" t="str">
        <f>"20160718"</f>
        <v>20160718</v>
      </c>
      <c r="B27" s="4" t="str">
        <f>"20160718"</f>
        <v>20160718</v>
      </c>
      <c r="C27" s="4" t="str">
        <f t="shared" ref="C27:C32" si="25">"证券卖出"</f>
        <v>证券卖出</v>
      </c>
      <c r="D27" s="4" t="str">
        <f t="shared" ref="D27:D30" si="26">"600297"</f>
        <v>600297</v>
      </c>
      <c r="E27" s="4" t="str">
        <f t="shared" ref="E27:E30" si="27">"广汇汽车"</f>
        <v>广汇汽车</v>
      </c>
      <c r="F27" s="4">
        <v>8.93</v>
      </c>
      <c r="G27" s="4">
        <v>2000</v>
      </c>
      <c r="H27" s="4">
        <v>17860</v>
      </c>
      <c r="I27" s="4">
        <v>17836.24</v>
      </c>
      <c r="J27" s="4">
        <v>65326.98</v>
      </c>
      <c r="K27" s="4">
        <v>0</v>
      </c>
      <c r="L27" s="4" t="str">
        <f t="shared" si="1"/>
        <v>人民币</v>
      </c>
      <c r="M27" s="4" t="str">
        <f>"1361007380"</f>
        <v>1361007380</v>
      </c>
      <c r="N27" s="4" t="str">
        <f t="shared" si="24"/>
        <v>A368402599</v>
      </c>
      <c r="O27" s="4" t="str">
        <f t="shared" si="3"/>
        <v>300100052893</v>
      </c>
    </row>
    <row r="28" spans="1:15">
      <c r="A28" s="4" t="str">
        <f>"20160718"</f>
        <v>20160718</v>
      </c>
      <c r="B28" s="4" t="str">
        <f>"20160718"</f>
        <v>20160718</v>
      </c>
      <c r="C28" s="4" t="str">
        <f t="shared" ref="C28:C31" si="28">"证券买入"</f>
        <v>证券买入</v>
      </c>
      <c r="D28" s="4" t="str">
        <f>"002183"</f>
        <v>002183</v>
      </c>
      <c r="E28" s="4" t="str">
        <f>"怡 亚 通"</f>
        <v>怡 亚 通</v>
      </c>
      <c r="F28" s="4">
        <v>14.37</v>
      </c>
      <c r="G28" s="4">
        <v>1000</v>
      </c>
      <c r="H28" s="4">
        <v>14370</v>
      </c>
      <c r="I28" s="4">
        <v>-14375</v>
      </c>
      <c r="J28" s="4">
        <v>50951.98</v>
      </c>
      <c r="K28" s="4">
        <v>2000</v>
      </c>
      <c r="L28" s="4" t="str">
        <f t="shared" si="1"/>
        <v>人民币</v>
      </c>
      <c r="M28" s="4" t="str">
        <f>"T4009335"</f>
        <v>T4009335</v>
      </c>
      <c r="N28" s="4" t="str">
        <f t="shared" ref="N28:N32" si="29">"0149593788"</f>
        <v>0149593788</v>
      </c>
      <c r="O28" s="4" t="str">
        <f t="shared" si="3"/>
        <v>300100052893</v>
      </c>
    </row>
    <row r="29" spans="1:15">
      <c r="A29" s="4" t="str">
        <f>"20160719"</f>
        <v>20160719</v>
      </c>
      <c r="B29" s="4" t="str">
        <f>"20160719"</f>
        <v>20160719</v>
      </c>
      <c r="C29" s="4" t="str">
        <f t="shared" si="28"/>
        <v>证券买入</v>
      </c>
      <c r="D29" s="4" t="str">
        <f t="shared" si="26"/>
        <v>600297</v>
      </c>
      <c r="E29" s="4" t="str">
        <f t="shared" si="27"/>
        <v>广汇汽车</v>
      </c>
      <c r="F29" s="4">
        <v>8.81</v>
      </c>
      <c r="G29" s="4">
        <v>2000</v>
      </c>
      <c r="H29" s="4">
        <v>17620</v>
      </c>
      <c r="I29" s="4">
        <v>-17625.81</v>
      </c>
      <c r="J29" s="4">
        <v>33326.17</v>
      </c>
      <c r="K29" s="4">
        <v>2000</v>
      </c>
      <c r="L29" s="4" t="str">
        <f t="shared" si="1"/>
        <v>人民币</v>
      </c>
      <c r="M29" s="4" t="str">
        <f>"1361002101"</f>
        <v>1361002101</v>
      </c>
      <c r="N29" s="4" t="str">
        <f t="shared" si="24"/>
        <v>A368402599</v>
      </c>
      <c r="O29" s="4" t="str">
        <f t="shared" si="3"/>
        <v>300100052893</v>
      </c>
    </row>
    <row r="30" spans="1:15">
      <c r="A30" s="4" t="str">
        <f>"20160720"</f>
        <v>20160720</v>
      </c>
      <c r="B30" s="4" t="str">
        <f>"20160720"</f>
        <v>20160720</v>
      </c>
      <c r="C30" s="4" t="str">
        <f t="shared" si="25"/>
        <v>证券卖出</v>
      </c>
      <c r="D30" s="4" t="str">
        <f t="shared" si="26"/>
        <v>600297</v>
      </c>
      <c r="E30" s="4" t="str">
        <f t="shared" si="27"/>
        <v>广汇汽车</v>
      </c>
      <c r="F30" s="4">
        <v>9.17</v>
      </c>
      <c r="G30" s="4">
        <v>2000</v>
      </c>
      <c r="H30" s="4">
        <v>18340</v>
      </c>
      <c r="I30" s="4">
        <v>18315.6</v>
      </c>
      <c r="J30" s="4">
        <v>51641.77</v>
      </c>
      <c r="K30" s="4">
        <v>0</v>
      </c>
      <c r="L30" s="4" t="str">
        <f t="shared" si="1"/>
        <v>人民币</v>
      </c>
      <c r="M30" s="4" t="str">
        <f>"1361003163"</f>
        <v>1361003163</v>
      </c>
      <c r="N30" s="4" t="str">
        <f t="shared" si="24"/>
        <v>A368402599</v>
      </c>
      <c r="O30" s="4" t="str">
        <f t="shared" si="3"/>
        <v>300100052893</v>
      </c>
    </row>
    <row r="31" spans="1:15">
      <c r="A31" s="4" t="str">
        <f>"20160720"</f>
        <v>20160720</v>
      </c>
      <c r="B31" s="4" t="str">
        <f>"20160720"</f>
        <v>20160720</v>
      </c>
      <c r="C31" s="4" t="str">
        <f t="shared" si="28"/>
        <v>证券买入</v>
      </c>
      <c r="D31" s="4" t="str">
        <f t="shared" ref="D31:D36" si="30">"002183"</f>
        <v>002183</v>
      </c>
      <c r="E31" s="4" t="str">
        <f t="shared" ref="E31:E36" si="31">"怡 亚 通"</f>
        <v>怡 亚 通</v>
      </c>
      <c r="F31" s="4">
        <v>14.07</v>
      </c>
      <c r="G31" s="4">
        <v>1000</v>
      </c>
      <c r="H31" s="4">
        <v>14070</v>
      </c>
      <c r="I31" s="4">
        <v>-14075</v>
      </c>
      <c r="J31" s="4">
        <v>37566.77</v>
      </c>
      <c r="K31" s="4">
        <v>3000</v>
      </c>
      <c r="L31" s="4" t="str">
        <f t="shared" si="1"/>
        <v>人民币</v>
      </c>
      <c r="M31" s="4" t="str">
        <f>"T4005589"</f>
        <v>T4005589</v>
      </c>
      <c r="N31" s="4" t="str">
        <f t="shared" si="29"/>
        <v>0149593788</v>
      </c>
      <c r="O31" s="4" t="str">
        <f t="shared" si="3"/>
        <v>300100052893</v>
      </c>
    </row>
    <row r="32" spans="1:15">
      <c r="A32" s="4" t="str">
        <f t="shared" ref="A32:A34" si="32">"20160722"</f>
        <v>20160722</v>
      </c>
      <c r="B32" s="4" t="str">
        <f t="shared" ref="B32:B34" si="33">"20160722"</f>
        <v>20160722</v>
      </c>
      <c r="C32" s="4" t="str">
        <f t="shared" si="25"/>
        <v>证券卖出</v>
      </c>
      <c r="D32" s="4" t="str">
        <f>"000667"</f>
        <v>000667</v>
      </c>
      <c r="E32" s="4" t="str">
        <f>"美好集团"</f>
        <v>美好集团</v>
      </c>
      <c r="F32" s="4">
        <v>3.91</v>
      </c>
      <c r="G32" s="4">
        <v>9000</v>
      </c>
      <c r="H32" s="4">
        <v>35190</v>
      </c>
      <c r="I32" s="4">
        <v>35143.9</v>
      </c>
      <c r="J32" s="4">
        <v>72710.67</v>
      </c>
      <c r="K32" s="4">
        <v>0</v>
      </c>
      <c r="L32" s="4" t="str">
        <f t="shared" si="1"/>
        <v>人民币</v>
      </c>
      <c r="M32" s="4" t="str">
        <f>"T4005220"</f>
        <v>T4005220</v>
      </c>
      <c r="N32" s="4" t="str">
        <f t="shared" si="29"/>
        <v>0149593788</v>
      </c>
      <c r="O32" s="4" t="str">
        <f t="shared" si="3"/>
        <v>300100052893</v>
      </c>
    </row>
    <row r="33" spans="1:15">
      <c r="A33" s="4" t="str">
        <f t="shared" si="32"/>
        <v>20160722</v>
      </c>
      <c r="B33" s="4" t="str">
        <f t="shared" si="33"/>
        <v>20160722</v>
      </c>
      <c r="C33" s="4" t="str">
        <f t="shared" ref="C33:C36" si="34">"证券买入"</f>
        <v>证券买入</v>
      </c>
      <c r="D33" s="4" t="str">
        <f>"600886"</f>
        <v>600886</v>
      </c>
      <c r="E33" s="4" t="str">
        <f>"国投电力"</f>
        <v>国投电力</v>
      </c>
      <c r="F33" s="4">
        <v>6.66</v>
      </c>
      <c r="G33" s="4">
        <v>2000</v>
      </c>
      <c r="H33" s="4">
        <v>13320</v>
      </c>
      <c r="I33" s="4">
        <v>-13325.27</v>
      </c>
      <c r="J33" s="4">
        <v>59385.4</v>
      </c>
      <c r="K33" s="4">
        <v>14000</v>
      </c>
      <c r="L33" s="4" t="str">
        <f t="shared" si="1"/>
        <v>人民币</v>
      </c>
      <c r="M33" s="4" t="str">
        <f>"1361002766"</f>
        <v>1361002766</v>
      </c>
      <c r="N33" s="4" t="str">
        <f>"A368402599"</f>
        <v>A368402599</v>
      </c>
      <c r="O33" s="4" t="str">
        <f t="shared" si="3"/>
        <v>300100052893</v>
      </c>
    </row>
    <row r="34" spans="1:15">
      <c r="A34" s="4" t="str">
        <f t="shared" si="32"/>
        <v>20160722</v>
      </c>
      <c r="B34" s="4" t="str">
        <f t="shared" si="33"/>
        <v>20160722</v>
      </c>
      <c r="C34" s="4" t="str">
        <f t="shared" si="34"/>
        <v>证券买入</v>
      </c>
      <c r="D34" s="4" t="str">
        <f t="shared" si="30"/>
        <v>002183</v>
      </c>
      <c r="E34" s="4" t="str">
        <f t="shared" si="31"/>
        <v>怡 亚 通</v>
      </c>
      <c r="F34" s="4">
        <v>13.93</v>
      </c>
      <c r="G34" s="4">
        <v>1000</v>
      </c>
      <c r="H34" s="4">
        <v>13930</v>
      </c>
      <c r="I34" s="4">
        <v>-13935</v>
      </c>
      <c r="J34" s="4">
        <v>45450.4</v>
      </c>
      <c r="K34" s="4">
        <v>4000</v>
      </c>
      <c r="L34" s="4" t="str">
        <f t="shared" si="1"/>
        <v>人民币</v>
      </c>
      <c r="M34" s="4" t="str">
        <f>"T4010519"</f>
        <v>T4010519</v>
      </c>
      <c r="N34" s="4" t="str">
        <f t="shared" ref="N34:N36" si="35">"0149593788"</f>
        <v>0149593788</v>
      </c>
      <c r="O34" s="4" t="str">
        <f t="shared" si="3"/>
        <v>300100052893</v>
      </c>
    </row>
    <row r="35" spans="1:15">
      <c r="A35" s="4" t="str">
        <f>"20160727"</f>
        <v>20160727</v>
      </c>
      <c r="B35" s="4" t="str">
        <f>"20160727"</f>
        <v>20160727</v>
      </c>
      <c r="C35" s="4" t="str">
        <f t="shared" si="34"/>
        <v>证券买入</v>
      </c>
      <c r="D35" s="4" t="str">
        <f t="shared" si="30"/>
        <v>002183</v>
      </c>
      <c r="E35" s="4" t="str">
        <f t="shared" si="31"/>
        <v>怡 亚 通</v>
      </c>
      <c r="F35" s="4">
        <v>13.75</v>
      </c>
      <c r="G35" s="4">
        <v>1000</v>
      </c>
      <c r="H35" s="4">
        <v>13750</v>
      </c>
      <c r="I35" s="4">
        <v>-13755</v>
      </c>
      <c r="J35" s="4">
        <v>31695.4</v>
      </c>
      <c r="K35" s="4">
        <v>5000</v>
      </c>
      <c r="L35" s="4" t="str">
        <f t="shared" si="1"/>
        <v>人民币</v>
      </c>
      <c r="M35" s="4" t="str">
        <f>"T4008547"</f>
        <v>T4008547</v>
      </c>
      <c r="N35" s="4" t="str">
        <f t="shared" si="35"/>
        <v>0149593788</v>
      </c>
      <c r="O35" s="4" t="str">
        <f t="shared" si="3"/>
        <v>300100052893</v>
      </c>
    </row>
    <row r="36" spans="1:15">
      <c r="A36" s="4" t="str">
        <f>"20160727"</f>
        <v>20160727</v>
      </c>
      <c r="B36" s="4" t="str">
        <f>"20160727"</f>
        <v>20160727</v>
      </c>
      <c r="C36" s="4" t="str">
        <f t="shared" si="34"/>
        <v>证券买入</v>
      </c>
      <c r="D36" s="4" t="str">
        <f t="shared" si="30"/>
        <v>002183</v>
      </c>
      <c r="E36" s="4" t="str">
        <f t="shared" si="31"/>
        <v>怡 亚 通</v>
      </c>
      <c r="F36" s="4">
        <v>13.17</v>
      </c>
      <c r="G36" s="4">
        <v>1000</v>
      </c>
      <c r="H36" s="4">
        <v>13170</v>
      </c>
      <c r="I36" s="4">
        <v>-13175</v>
      </c>
      <c r="J36" s="4">
        <v>18520.4</v>
      </c>
      <c r="K36" s="4">
        <v>6000</v>
      </c>
      <c r="L36" s="4" t="str">
        <f t="shared" si="1"/>
        <v>人民币</v>
      </c>
      <c r="M36" s="4" t="str">
        <f>"T4011303"</f>
        <v>T4011303</v>
      </c>
      <c r="N36" s="4" t="str">
        <f t="shared" si="35"/>
        <v>0149593788</v>
      </c>
      <c r="O36" s="4" t="str">
        <f t="shared" si="3"/>
        <v>300100052893</v>
      </c>
    </row>
    <row r="37" spans="1:15">
      <c r="A37" s="4" t="str">
        <f t="shared" ref="A37:A41" si="36">"20160728"</f>
        <v>20160728</v>
      </c>
      <c r="B37" s="4" t="str">
        <f t="shared" ref="B37:B41" si="37">"20160728"</f>
        <v>20160728</v>
      </c>
      <c r="C37" s="4" t="str">
        <f>"证券卖出"</f>
        <v>证券卖出</v>
      </c>
      <c r="D37" s="4" t="str">
        <f>"600886"</f>
        <v>600886</v>
      </c>
      <c r="E37" s="4" t="str">
        <f>"国投电力"</f>
        <v>国投电力</v>
      </c>
      <c r="F37" s="4">
        <v>7.08</v>
      </c>
      <c r="G37" s="4">
        <v>4000</v>
      </c>
      <c r="H37" s="4">
        <v>28320</v>
      </c>
      <c r="I37" s="4">
        <v>28282.33</v>
      </c>
      <c r="J37" s="4">
        <v>46802.73</v>
      </c>
      <c r="K37" s="4">
        <v>10000</v>
      </c>
      <c r="L37" s="4" t="str">
        <f t="shared" si="1"/>
        <v>人民币</v>
      </c>
      <c r="M37" s="4" t="str">
        <f>"1361004683"</f>
        <v>1361004683</v>
      </c>
      <c r="N37" s="4" t="str">
        <f t="shared" ref="N37:N47" si="38">"A368402599"</f>
        <v>A368402599</v>
      </c>
      <c r="O37" s="4" t="str">
        <f t="shared" si="3"/>
        <v>300100052893</v>
      </c>
    </row>
    <row r="38" spans="1:15">
      <c r="A38" s="4" t="str">
        <f t="shared" si="36"/>
        <v>20160728</v>
      </c>
      <c r="B38" s="4" t="str">
        <f t="shared" si="37"/>
        <v>20160728</v>
      </c>
      <c r="C38" s="4" t="str">
        <f t="shared" ref="C38:C41" si="39">"证券买入"</f>
        <v>证券买入</v>
      </c>
      <c r="D38" s="4" t="str">
        <f>"002183"</f>
        <v>002183</v>
      </c>
      <c r="E38" s="4" t="str">
        <f>"怡 亚 通"</f>
        <v>怡 亚 通</v>
      </c>
      <c r="F38" s="4">
        <v>12.7</v>
      </c>
      <c r="G38" s="4">
        <v>1000</v>
      </c>
      <c r="H38" s="4">
        <v>12700</v>
      </c>
      <c r="I38" s="4">
        <v>-12705</v>
      </c>
      <c r="J38" s="4">
        <v>34097.73</v>
      </c>
      <c r="K38" s="4">
        <v>7000</v>
      </c>
      <c r="L38" s="4" t="str">
        <f t="shared" si="1"/>
        <v>人民币</v>
      </c>
      <c r="M38" s="4" t="str">
        <f>"T4005375"</f>
        <v>T4005375</v>
      </c>
      <c r="N38" s="4" t="str">
        <f>"0149593788"</f>
        <v>0149593788</v>
      </c>
      <c r="O38" s="4" t="str">
        <f t="shared" si="3"/>
        <v>300100052893</v>
      </c>
    </row>
    <row r="39" spans="1:15">
      <c r="A39" s="4" t="str">
        <f t="shared" si="36"/>
        <v>20160728</v>
      </c>
      <c r="B39" s="4" t="str">
        <f t="shared" si="37"/>
        <v>20160728</v>
      </c>
      <c r="C39" s="4" t="str">
        <f>"证券卖出"</f>
        <v>证券卖出</v>
      </c>
      <c r="D39" s="4" t="str">
        <f>"002183"</f>
        <v>002183</v>
      </c>
      <c r="E39" s="4" t="str">
        <f>"怡 亚 通"</f>
        <v>怡 亚 通</v>
      </c>
      <c r="F39" s="4">
        <v>12.46</v>
      </c>
      <c r="G39" s="4">
        <v>3000</v>
      </c>
      <c r="H39" s="4">
        <v>37380</v>
      </c>
      <c r="I39" s="4">
        <v>37331.03</v>
      </c>
      <c r="J39" s="4">
        <v>71428.76</v>
      </c>
      <c r="K39" s="4">
        <v>4000</v>
      </c>
      <c r="L39" s="4" t="str">
        <f t="shared" si="1"/>
        <v>人民币</v>
      </c>
      <c r="M39" s="4" t="str">
        <f>"T4005603"</f>
        <v>T4005603</v>
      </c>
      <c r="N39" s="4" t="str">
        <f>"0149593788"</f>
        <v>0149593788</v>
      </c>
      <c r="O39" s="4" t="str">
        <f t="shared" si="3"/>
        <v>300100052893</v>
      </c>
    </row>
    <row r="40" spans="1:15">
      <c r="A40" s="4" t="str">
        <f t="shared" si="36"/>
        <v>20160728</v>
      </c>
      <c r="B40" s="4" t="str">
        <f t="shared" si="37"/>
        <v>20160728</v>
      </c>
      <c r="C40" s="4" t="str">
        <f t="shared" si="39"/>
        <v>证券买入</v>
      </c>
      <c r="D40" s="4" t="str">
        <f>"510300"</f>
        <v>510300</v>
      </c>
      <c r="E40" s="4" t="str">
        <f>"300ETF"</f>
        <v>300ETF</v>
      </c>
      <c r="F40" s="4">
        <v>3.263</v>
      </c>
      <c r="G40" s="4">
        <v>2000</v>
      </c>
      <c r="H40" s="4">
        <v>6526</v>
      </c>
      <c r="I40" s="4">
        <v>-6531</v>
      </c>
      <c r="J40" s="4">
        <v>64897.76</v>
      </c>
      <c r="K40" s="4">
        <v>4000</v>
      </c>
      <c r="L40" s="4" t="str">
        <f t="shared" si="1"/>
        <v>人民币</v>
      </c>
      <c r="M40" s="4" t="str">
        <f>"1361006813"</f>
        <v>1361006813</v>
      </c>
      <c r="N40" s="4" t="str">
        <f t="shared" si="38"/>
        <v>A368402599</v>
      </c>
      <c r="O40" s="4" t="str">
        <f t="shared" si="3"/>
        <v>300100052893</v>
      </c>
    </row>
    <row r="41" spans="1:15">
      <c r="A41" s="4" t="str">
        <f t="shared" si="36"/>
        <v>20160728</v>
      </c>
      <c r="B41" s="4" t="str">
        <f t="shared" si="37"/>
        <v>20160728</v>
      </c>
      <c r="C41" s="4" t="str">
        <f t="shared" si="39"/>
        <v>证券买入</v>
      </c>
      <c r="D41" s="4" t="str">
        <f>"600575"</f>
        <v>600575</v>
      </c>
      <c r="E41" s="4" t="str">
        <f>"皖江物流"</f>
        <v>皖江物流</v>
      </c>
      <c r="F41" s="4">
        <v>4.23</v>
      </c>
      <c r="G41" s="4">
        <v>3000</v>
      </c>
      <c r="H41" s="4">
        <v>12690</v>
      </c>
      <c r="I41" s="4">
        <v>-12695.25</v>
      </c>
      <c r="J41" s="4">
        <v>52202.51</v>
      </c>
      <c r="K41" s="4">
        <v>3000</v>
      </c>
      <c r="L41" s="4" t="str">
        <f t="shared" si="1"/>
        <v>人民币</v>
      </c>
      <c r="M41" s="4" t="str">
        <f>"1361007447"</f>
        <v>1361007447</v>
      </c>
      <c r="N41" s="4" t="str">
        <f t="shared" si="38"/>
        <v>A368402599</v>
      </c>
      <c r="O41" s="4" t="str">
        <f t="shared" si="3"/>
        <v>300100052893</v>
      </c>
    </row>
    <row r="42" spans="1:15">
      <c r="A42" s="4" t="str">
        <f t="shared" ref="A42:A44" si="40">"20160729"</f>
        <v>20160729</v>
      </c>
      <c r="B42" s="4" t="str">
        <f t="shared" ref="B42:B44" si="41">"0"</f>
        <v>0</v>
      </c>
      <c r="C42" s="4" t="str">
        <f t="shared" ref="C42:C44" si="42">"股息红利差异扣税"</f>
        <v>股息红利差异扣税</v>
      </c>
      <c r="D42" s="4" t="str">
        <f t="shared" ref="D42:D44" si="43">"600886"</f>
        <v>600886</v>
      </c>
      <c r="E42" s="4" t="str">
        <f t="shared" ref="E42:E44" si="44">"国投电力"</f>
        <v>国投电力</v>
      </c>
      <c r="F42" s="4">
        <v>0</v>
      </c>
      <c r="G42" s="4">
        <v>0</v>
      </c>
      <c r="H42" s="4">
        <v>0</v>
      </c>
      <c r="I42" s="4">
        <v>-27.99</v>
      </c>
      <c r="J42" s="4">
        <v>52174.52</v>
      </c>
      <c r="K42" s="4">
        <v>0</v>
      </c>
      <c r="L42" s="4" t="str">
        <f t="shared" si="1"/>
        <v>人民币</v>
      </c>
      <c r="N42" s="4" t="str">
        <f t="shared" si="38"/>
        <v>A368402599</v>
      </c>
      <c r="O42" s="4" t="str">
        <f t="shared" si="3"/>
        <v>300100052893</v>
      </c>
    </row>
    <row r="43" spans="1:15">
      <c r="A43" s="4" t="str">
        <f t="shared" si="40"/>
        <v>20160729</v>
      </c>
      <c r="B43" s="4" t="str">
        <f t="shared" si="41"/>
        <v>0</v>
      </c>
      <c r="C43" s="4" t="str">
        <f t="shared" si="42"/>
        <v>股息红利差异扣税</v>
      </c>
      <c r="D43" s="4" t="str">
        <f t="shared" si="43"/>
        <v>600886</v>
      </c>
      <c r="E43" s="4" t="str">
        <f t="shared" si="44"/>
        <v>国投电力</v>
      </c>
      <c r="F43" s="4">
        <v>0</v>
      </c>
      <c r="G43" s="4">
        <v>0</v>
      </c>
      <c r="H43" s="4">
        <v>0</v>
      </c>
      <c r="I43" s="4">
        <v>-55.99</v>
      </c>
      <c r="J43" s="4">
        <v>52118.53</v>
      </c>
      <c r="K43" s="4">
        <v>0</v>
      </c>
      <c r="L43" s="4" t="str">
        <f t="shared" si="1"/>
        <v>人民币</v>
      </c>
      <c r="N43" s="4" t="str">
        <f t="shared" si="38"/>
        <v>A368402599</v>
      </c>
      <c r="O43" s="4" t="str">
        <f t="shared" si="3"/>
        <v>300100052893</v>
      </c>
    </row>
    <row r="44" spans="1:15">
      <c r="A44" s="4" t="str">
        <f t="shared" si="40"/>
        <v>20160729</v>
      </c>
      <c r="B44" s="4" t="str">
        <f t="shared" si="41"/>
        <v>0</v>
      </c>
      <c r="C44" s="4" t="str">
        <f t="shared" si="42"/>
        <v>股息红利差异扣税</v>
      </c>
      <c r="D44" s="4" t="str">
        <f t="shared" si="43"/>
        <v>600886</v>
      </c>
      <c r="E44" s="4" t="str">
        <f t="shared" si="44"/>
        <v>国投电力</v>
      </c>
      <c r="F44" s="4">
        <v>0</v>
      </c>
      <c r="G44" s="4">
        <v>0</v>
      </c>
      <c r="H44" s="4">
        <v>0</v>
      </c>
      <c r="I44" s="4">
        <v>-27.99</v>
      </c>
      <c r="J44" s="4">
        <v>52090.54</v>
      </c>
      <c r="K44" s="4">
        <v>0</v>
      </c>
      <c r="L44" s="4" t="str">
        <f t="shared" si="1"/>
        <v>人民币</v>
      </c>
      <c r="N44" s="4" t="str">
        <f t="shared" si="38"/>
        <v>A368402599</v>
      </c>
      <c r="O44" s="4" t="str">
        <f t="shared" si="3"/>
        <v>300100052893</v>
      </c>
    </row>
    <row r="45" spans="1:15">
      <c r="A45" s="4" t="str">
        <f t="shared" ref="A45:A48" si="45">"20160801"</f>
        <v>20160801</v>
      </c>
      <c r="B45" s="4" t="str">
        <f t="shared" ref="B45:B48" si="46">"20160801"</f>
        <v>20160801</v>
      </c>
      <c r="C45" s="4" t="str">
        <f t="shared" ref="C45:C52" si="47">"证券卖出"</f>
        <v>证券卖出</v>
      </c>
      <c r="D45" s="4" t="str">
        <f t="shared" ref="D45:D50" si="48">"510300"</f>
        <v>510300</v>
      </c>
      <c r="E45" s="4" t="str">
        <f t="shared" ref="E45:E50" si="49">"300ETF"</f>
        <v>300ETF</v>
      </c>
      <c r="F45" s="4">
        <v>3.243</v>
      </c>
      <c r="G45" s="4">
        <v>2000</v>
      </c>
      <c r="H45" s="4">
        <v>6486</v>
      </c>
      <c r="I45" s="4">
        <v>6481</v>
      </c>
      <c r="J45" s="4">
        <v>58571.54</v>
      </c>
      <c r="K45" s="4">
        <v>2000</v>
      </c>
      <c r="L45" s="4" t="str">
        <f t="shared" si="1"/>
        <v>人民币</v>
      </c>
      <c r="M45" s="4" t="str">
        <f>"1361000270"</f>
        <v>1361000270</v>
      </c>
      <c r="N45" s="4" t="str">
        <f t="shared" si="38"/>
        <v>A368402599</v>
      </c>
      <c r="O45" s="4" t="str">
        <f t="shared" si="3"/>
        <v>300100052893</v>
      </c>
    </row>
    <row r="46" spans="1:15">
      <c r="A46" s="4" t="str">
        <f t="shared" si="45"/>
        <v>20160801</v>
      </c>
      <c r="B46" s="4" t="str">
        <f t="shared" si="46"/>
        <v>20160801</v>
      </c>
      <c r="C46" s="4" t="str">
        <f t="shared" si="47"/>
        <v>证券卖出</v>
      </c>
      <c r="D46" s="4" t="str">
        <f>"600575"</f>
        <v>600575</v>
      </c>
      <c r="E46" s="4" t="str">
        <f>"皖江物流"</f>
        <v>皖江物流</v>
      </c>
      <c r="F46" s="4">
        <v>4.2</v>
      </c>
      <c r="G46" s="4">
        <v>3000</v>
      </c>
      <c r="H46" s="4">
        <v>12600</v>
      </c>
      <c r="I46" s="4">
        <v>12582.15</v>
      </c>
      <c r="J46" s="4">
        <v>71153.69</v>
      </c>
      <c r="K46" s="4">
        <v>0</v>
      </c>
      <c r="L46" s="4" t="str">
        <f t="shared" si="1"/>
        <v>人民币</v>
      </c>
      <c r="M46" s="4" t="str">
        <f>"1361000569"</f>
        <v>1361000569</v>
      </c>
      <c r="N46" s="4" t="str">
        <f t="shared" si="38"/>
        <v>A368402599</v>
      </c>
      <c r="O46" s="4" t="str">
        <f t="shared" si="3"/>
        <v>300100052893</v>
      </c>
    </row>
    <row r="47" spans="1:15">
      <c r="A47" s="4" t="str">
        <f t="shared" si="45"/>
        <v>20160801</v>
      </c>
      <c r="B47" s="4" t="str">
        <f t="shared" si="46"/>
        <v>20160801</v>
      </c>
      <c r="C47" s="4" t="str">
        <f t="shared" ref="C47:C49" si="50">"证券买入"</f>
        <v>证券买入</v>
      </c>
      <c r="D47" s="4" t="str">
        <f t="shared" si="48"/>
        <v>510300</v>
      </c>
      <c r="E47" s="4" t="str">
        <f t="shared" si="49"/>
        <v>300ETF</v>
      </c>
      <c r="F47" s="4">
        <v>3.221</v>
      </c>
      <c r="G47" s="4">
        <v>2000</v>
      </c>
      <c r="H47" s="4">
        <v>6442</v>
      </c>
      <c r="I47" s="4">
        <v>-6447</v>
      </c>
      <c r="J47" s="4">
        <v>64706.69</v>
      </c>
      <c r="K47" s="4">
        <v>4000</v>
      </c>
      <c r="L47" s="4" t="str">
        <f t="shared" si="1"/>
        <v>人民币</v>
      </c>
      <c r="M47" s="4" t="str">
        <f>"1361001964"</f>
        <v>1361001964</v>
      </c>
      <c r="N47" s="4" t="str">
        <f t="shared" si="38"/>
        <v>A368402599</v>
      </c>
      <c r="O47" s="4" t="str">
        <f t="shared" si="3"/>
        <v>300100052893</v>
      </c>
    </row>
    <row r="48" spans="1:15">
      <c r="A48" s="4" t="str">
        <f t="shared" si="45"/>
        <v>20160801</v>
      </c>
      <c r="B48" s="4" t="str">
        <f t="shared" si="46"/>
        <v>20160801</v>
      </c>
      <c r="C48" s="4" t="str">
        <f t="shared" si="50"/>
        <v>证券买入</v>
      </c>
      <c r="D48" s="4" t="str">
        <f t="shared" ref="D48:D54" si="51">"000667"</f>
        <v>000667</v>
      </c>
      <c r="E48" s="4" t="str">
        <f t="shared" ref="E48:E54" si="52">"美好集团"</f>
        <v>美好集团</v>
      </c>
      <c r="F48" s="4">
        <v>3.71</v>
      </c>
      <c r="G48" s="4">
        <v>3000</v>
      </c>
      <c r="H48" s="4">
        <v>11130</v>
      </c>
      <c r="I48" s="4">
        <v>-11135</v>
      </c>
      <c r="J48" s="4">
        <v>53571.69</v>
      </c>
      <c r="K48" s="4">
        <v>3000</v>
      </c>
      <c r="L48" s="4" t="str">
        <f t="shared" si="1"/>
        <v>人民币</v>
      </c>
      <c r="M48" s="4" t="str">
        <f>"T4004976"</f>
        <v>T4004976</v>
      </c>
      <c r="N48" s="4" t="str">
        <f t="shared" ref="N48:N54" si="53">"0149593788"</f>
        <v>0149593788</v>
      </c>
      <c r="O48" s="4" t="str">
        <f t="shared" si="3"/>
        <v>300100052893</v>
      </c>
    </row>
    <row r="49" spans="1:15">
      <c r="A49" s="4" t="str">
        <f>"20160803"</f>
        <v>20160803</v>
      </c>
      <c r="B49" s="4" t="str">
        <f>"20160803"</f>
        <v>20160803</v>
      </c>
      <c r="C49" s="4" t="str">
        <f t="shared" si="50"/>
        <v>证券买入</v>
      </c>
      <c r="D49" s="4" t="str">
        <f>"600219"</f>
        <v>600219</v>
      </c>
      <c r="E49" s="4" t="str">
        <f>"南山铝业"</f>
        <v>南山铝业</v>
      </c>
      <c r="F49" s="4">
        <v>7.64</v>
      </c>
      <c r="G49" s="4">
        <v>500</v>
      </c>
      <c r="H49" s="4">
        <v>3820</v>
      </c>
      <c r="I49" s="4">
        <v>-3825.08</v>
      </c>
      <c r="J49" s="4">
        <v>49746.61</v>
      </c>
      <c r="K49" s="4">
        <v>5000</v>
      </c>
      <c r="L49" s="4" t="str">
        <f t="shared" si="1"/>
        <v>人民币</v>
      </c>
      <c r="M49" s="4" t="str">
        <f>"1361001472"</f>
        <v>1361001472</v>
      </c>
      <c r="N49" s="4" t="str">
        <f t="shared" ref="N49:N52" si="54">"A368402599"</f>
        <v>A368402599</v>
      </c>
      <c r="O49" s="4" t="str">
        <f t="shared" si="3"/>
        <v>300100052893</v>
      </c>
    </row>
    <row r="50" spans="1:15">
      <c r="A50" s="4" t="str">
        <f>"20160804"</f>
        <v>20160804</v>
      </c>
      <c r="B50" s="4" t="str">
        <f>"20160804"</f>
        <v>20160804</v>
      </c>
      <c r="C50" s="4" t="str">
        <f t="shared" si="47"/>
        <v>证券卖出</v>
      </c>
      <c r="D50" s="4" t="str">
        <f t="shared" si="48"/>
        <v>510300</v>
      </c>
      <c r="E50" s="4" t="str">
        <f t="shared" si="49"/>
        <v>300ETF</v>
      </c>
      <c r="F50" s="4">
        <v>3.237</v>
      </c>
      <c r="G50" s="4">
        <v>2000</v>
      </c>
      <c r="H50" s="4">
        <v>6474</v>
      </c>
      <c r="I50" s="4">
        <v>6469</v>
      </c>
      <c r="J50" s="4">
        <v>56215.61</v>
      </c>
      <c r="K50" s="4">
        <v>2000</v>
      </c>
      <c r="L50" s="4" t="str">
        <f t="shared" si="1"/>
        <v>人民币</v>
      </c>
      <c r="M50" s="4" t="str">
        <f>"1361006629"</f>
        <v>1361006629</v>
      </c>
      <c r="N50" s="4" t="str">
        <f t="shared" si="54"/>
        <v>A368402599</v>
      </c>
      <c r="O50" s="4" t="str">
        <f t="shared" si="3"/>
        <v>300100052893</v>
      </c>
    </row>
    <row r="51" spans="1:15">
      <c r="A51" s="4" t="str">
        <f>"20160804"</f>
        <v>20160804</v>
      </c>
      <c r="B51" s="4" t="str">
        <f>"20160804"</f>
        <v>20160804</v>
      </c>
      <c r="C51" s="4" t="str">
        <f t="shared" si="47"/>
        <v>证券卖出</v>
      </c>
      <c r="D51" s="4" t="str">
        <f t="shared" si="51"/>
        <v>000667</v>
      </c>
      <c r="E51" s="4" t="str">
        <f t="shared" si="52"/>
        <v>美好集团</v>
      </c>
      <c r="F51" s="4">
        <v>3.91</v>
      </c>
      <c r="G51" s="4">
        <v>3000</v>
      </c>
      <c r="H51" s="4">
        <v>11730</v>
      </c>
      <c r="I51" s="4">
        <v>11713.27</v>
      </c>
      <c r="J51" s="4">
        <v>67928.88</v>
      </c>
      <c r="K51" s="4">
        <v>0</v>
      </c>
      <c r="L51" s="4" t="str">
        <f t="shared" si="1"/>
        <v>人民币</v>
      </c>
      <c r="M51" s="4" t="str">
        <f>"T4006756"</f>
        <v>T4006756</v>
      </c>
      <c r="N51" s="4" t="str">
        <f t="shared" si="53"/>
        <v>0149593788</v>
      </c>
      <c r="O51" s="4" t="str">
        <f t="shared" si="3"/>
        <v>300100052893</v>
      </c>
    </row>
    <row r="52" spans="1:15">
      <c r="A52" s="4" t="str">
        <f>"20160805"</f>
        <v>20160805</v>
      </c>
      <c r="B52" s="4" t="str">
        <f>"20160805"</f>
        <v>20160805</v>
      </c>
      <c r="C52" s="4" t="str">
        <f t="shared" si="47"/>
        <v>证券卖出</v>
      </c>
      <c r="D52" s="4" t="str">
        <f>"600219"</f>
        <v>600219</v>
      </c>
      <c r="E52" s="4" t="str">
        <f>"南山铝业"</f>
        <v>南山铝业</v>
      </c>
      <c r="F52" s="4">
        <v>7.81</v>
      </c>
      <c r="G52" s="4">
        <v>500</v>
      </c>
      <c r="H52" s="4">
        <v>3905</v>
      </c>
      <c r="I52" s="4">
        <v>3896.01</v>
      </c>
      <c r="J52" s="4">
        <v>71824.89</v>
      </c>
      <c r="K52" s="4">
        <v>4500</v>
      </c>
      <c r="L52" s="4" t="str">
        <f t="shared" si="1"/>
        <v>人民币</v>
      </c>
      <c r="M52" s="4" t="str">
        <f>"1361004217"</f>
        <v>1361004217</v>
      </c>
      <c r="N52" s="4" t="str">
        <f t="shared" si="54"/>
        <v>A368402599</v>
      </c>
      <c r="O52" s="4" t="str">
        <f t="shared" si="3"/>
        <v>300100052893</v>
      </c>
    </row>
    <row r="53" spans="1:15">
      <c r="A53" s="4" t="str">
        <f>"20160808"</f>
        <v>20160808</v>
      </c>
      <c r="B53" s="4" t="str">
        <f>"20160808"</f>
        <v>20160808</v>
      </c>
      <c r="C53" s="4" t="str">
        <f t="shared" ref="C53:C57" si="55">"证券买入"</f>
        <v>证券买入</v>
      </c>
      <c r="D53" s="4" t="str">
        <f t="shared" si="51"/>
        <v>000667</v>
      </c>
      <c r="E53" s="4" t="str">
        <f t="shared" si="52"/>
        <v>美好集团</v>
      </c>
      <c r="F53" s="4">
        <v>3.94</v>
      </c>
      <c r="G53" s="4">
        <v>10000</v>
      </c>
      <c r="H53" s="4">
        <v>39400</v>
      </c>
      <c r="I53" s="4">
        <v>-39412.21</v>
      </c>
      <c r="J53" s="4">
        <v>32412.68</v>
      </c>
      <c r="K53" s="4">
        <v>10000</v>
      </c>
      <c r="L53" s="4" t="str">
        <f t="shared" si="1"/>
        <v>人民币</v>
      </c>
      <c r="M53" s="4" t="str">
        <f>"T4002075"</f>
        <v>T4002075</v>
      </c>
      <c r="N53" s="4" t="str">
        <f t="shared" si="53"/>
        <v>0149593788</v>
      </c>
      <c r="O53" s="4" t="str">
        <f t="shared" si="3"/>
        <v>300100052893</v>
      </c>
    </row>
    <row r="54" spans="1:15">
      <c r="A54" s="4" t="str">
        <f t="shared" ref="A54:A56" si="56">"20160815"</f>
        <v>20160815</v>
      </c>
      <c r="B54" s="4" t="str">
        <f t="shared" ref="B54:B56" si="57">"20160815"</f>
        <v>20160815</v>
      </c>
      <c r="C54" s="4" t="str">
        <f>"证券卖出"</f>
        <v>证券卖出</v>
      </c>
      <c r="D54" s="4" t="str">
        <f t="shared" si="51"/>
        <v>000667</v>
      </c>
      <c r="E54" s="4" t="str">
        <f t="shared" si="52"/>
        <v>美好集团</v>
      </c>
      <c r="F54" s="4">
        <v>4.05</v>
      </c>
      <c r="G54" s="4">
        <v>10000</v>
      </c>
      <c r="H54" s="4">
        <v>40500</v>
      </c>
      <c r="I54" s="4">
        <v>40446.93</v>
      </c>
      <c r="J54" s="4">
        <v>72859.61</v>
      </c>
      <c r="K54" s="4">
        <v>0</v>
      </c>
      <c r="L54" s="4" t="str">
        <f t="shared" si="1"/>
        <v>人民币</v>
      </c>
      <c r="M54" s="4" t="str">
        <f>"T4001824"</f>
        <v>T4001824</v>
      </c>
      <c r="N54" s="4" t="str">
        <f t="shared" si="53"/>
        <v>0149593788</v>
      </c>
      <c r="O54" s="4" t="str">
        <f t="shared" si="3"/>
        <v>300100052893</v>
      </c>
    </row>
    <row r="55" spans="1:15">
      <c r="A55" s="4" t="str">
        <f t="shared" si="56"/>
        <v>20160815</v>
      </c>
      <c r="B55" s="4" t="str">
        <f t="shared" si="57"/>
        <v>20160815</v>
      </c>
      <c r="C55" s="4" t="str">
        <f t="shared" si="55"/>
        <v>证券买入</v>
      </c>
      <c r="D55" s="4" t="str">
        <f>"511990"</f>
        <v>511990</v>
      </c>
      <c r="E55" s="4" t="str">
        <f>"华宝添益"</f>
        <v>华宝添益</v>
      </c>
      <c r="F55" s="4">
        <v>99.988</v>
      </c>
      <c r="G55" s="4">
        <v>400</v>
      </c>
      <c r="H55" s="4">
        <v>39995.2</v>
      </c>
      <c r="I55" s="4">
        <v>-39995.2</v>
      </c>
      <c r="J55" s="4">
        <v>32864.41</v>
      </c>
      <c r="K55" s="4">
        <v>400</v>
      </c>
      <c r="L55" s="4" t="str">
        <f t="shared" si="1"/>
        <v>人民币</v>
      </c>
      <c r="M55" s="4" t="str">
        <f>"1361004538"</f>
        <v>1361004538</v>
      </c>
      <c r="N55" s="4" t="str">
        <f t="shared" ref="N55:N63" si="58">"A368402599"</f>
        <v>A368402599</v>
      </c>
      <c r="O55" s="4" t="str">
        <f t="shared" si="3"/>
        <v>300100052893</v>
      </c>
    </row>
    <row r="56" spans="1:15">
      <c r="A56" s="4" t="str">
        <f t="shared" si="56"/>
        <v>20160815</v>
      </c>
      <c r="B56" s="4" t="str">
        <f t="shared" si="57"/>
        <v>20160815</v>
      </c>
      <c r="C56" s="4" t="str">
        <f t="shared" si="55"/>
        <v>证券买入</v>
      </c>
      <c r="D56" s="4" t="str">
        <f>"511990"</f>
        <v>511990</v>
      </c>
      <c r="E56" s="4" t="str">
        <f>"华宝添益"</f>
        <v>华宝添益</v>
      </c>
      <c r="F56" s="4">
        <v>99.988</v>
      </c>
      <c r="G56" s="4">
        <v>100</v>
      </c>
      <c r="H56" s="4">
        <v>9998.8</v>
      </c>
      <c r="I56" s="4">
        <v>-9998.8</v>
      </c>
      <c r="J56" s="4">
        <v>22865.61</v>
      </c>
      <c r="K56" s="4">
        <v>500</v>
      </c>
      <c r="L56" s="4" t="str">
        <f t="shared" si="1"/>
        <v>人民币</v>
      </c>
      <c r="M56" s="4" t="str">
        <f>"1361004627"</f>
        <v>1361004627</v>
      </c>
      <c r="N56" s="4" t="str">
        <f t="shared" si="58"/>
        <v>A368402599</v>
      </c>
      <c r="O56" s="4" t="str">
        <f t="shared" si="3"/>
        <v>300100052893</v>
      </c>
    </row>
    <row r="57" spans="1:15">
      <c r="A57" s="4" t="str">
        <f>"20160816"</f>
        <v>20160816</v>
      </c>
      <c r="B57" s="4" t="str">
        <f>"20160816"</f>
        <v>20160816</v>
      </c>
      <c r="C57" s="4" t="str">
        <f t="shared" si="55"/>
        <v>证券买入</v>
      </c>
      <c r="D57" s="4" t="str">
        <f t="shared" ref="D57:D59" si="59">"600886"</f>
        <v>600886</v>
      </c>
      <c r="E57" s="4" t="str">
        <f t="shared" ref="E57:E59" si="60">"国投电力"</f>
        <v>国投电力</v>
      </c>
      <c r="F57" s="4">
        <v>7.4</v>
      </c>
      <c r="G57" s="4">
        <v>2000</v>
      </c>
      <c r="H57" s="4">
        <v>14800</v>
      </c>
      <c r="I57" s="4">
        <v>-14805.3</v>
      </c>
      <c r="J57" s="4">
        <v>8060.31</v>
      </c>
      <c r="K57" s="4">
        <v>12000</v>
      </c>
      <c r="L57" s="4" t="str">
        <f t="shared" si="1"/>
        <v>人民币</v>
      </c>
      <c r="M57" s="4" t="str">
        <f>"1361009411"</f>
        <v>1361009411</v>
      </c>
      <c r="N57" s="4" t="str">
        <f t="shared" si="58"/>
        <v>A368402599</v>
      </c>
      <c r="O57" s="4" t="str">
        <f t="shared" si="3"/>
        <v>300100052893</v>
      </c>
    </row>
    <row r="58" spans="1:15">
      <c r="A58" s="4" t="str">
        <f>"20160817"</f>
        <v>20160817</v>
      </c>
      <c r="B58" s="4" t="str">
        <f>"20160817"</f>
        <v>20160817</v>
      </c>
      <c r="C58" s="4" t="str">
        <f>"证券卖出"</f>
        <v>证券卖出</v>
      </c>
      <c r="D58" s="4" t="str">
        <f t="shared" si="59"/>
        <v>600886</v>
      </c>
      <c r="E58" s="4" t="str">
        <f t="shared" si="60"/>
        <v>国投电力</v>
      </c>
      <c r="F58" s="4">
        <v>7.48</v>
      </c>
      <c r="G58" s="4">
        <v>2000</v>
      </c>
      <c r="H58" s="4">
        <v>14960</v>
      </c>
      <c r="I58" s="4">
        <v>14939.74</v>
      </c>
      <c r="J58" s="4">
        <v>23000.05</v>
      </c>
      <c r="K58" s="4">
        <v>10000</v>
      </c>
      <c r="L58" s="4" t="str">
        <f t="shared" si="1"/>
        <v>人民币</v>
      </c>
      <c r="M58" s="4" t="str">
        <f>"1361005820"</f>
        <v>1361005820</v>
      </c>
      <c r="N58" s="4" t="str">
        <f t="shared" si="58"/>
        <v>A368402599</v>
      </c>
      <c r="O58" s="4" t="str">
        <f t="shared" si="3"/>
        <v>300100052893</v>
      </c>
    </row>
    <row r="59" spans="1:15">
      <c r="A59" s="4" t="str">
        <f>"20160818"</f>
        <v>20160818</v>
      </c>
      <c r="B59" s="4" t="str">
        <f>"0"</f>
        <v>0</v>
      </c>
      <c r="C59" s="4" t="str">
        <f>"股息红利差异扣税"</f>
        <v>股息红利差异扣税</v>
      </c>
      <c r="D59" s="4" t="str">
        <f t="shared" si="59"/>
        <v>600886</v>
      </c>
      <c r="E59" s="4" t="str">
        <f t="shared" si="60"/>
        <v>国投电力</v>
      </c>
      <c r="F59" s="4">
        <v>0</v>
      </c>
      <c r="G59" s="4">
        <v>0</v>
      </c>
      <c r="H59" s="4">
        <v>0</v>
      </c>
      <c r="I59" s="4">
        <v>-55.99</v>
      </c>
      <c r="J59" s="4">
        <v>22944.06</v>
      </c>
      <c r="K59" s="4">
        <v>0</v>
      </c>
      <c r="L59" s="4" t="str">
        <f t="shared" si="1"/>
        <v>人民币</v>
      </c>
      <c r="N59" s="4" t="str">
        <f t="shared" si="58"/>
        <v>A368402599</v>
      </c>
      <c r="O59" s="4" t="str">
        <f t="shared" si="3"/>
        <v>300100052893</v>
      </c>
    </row>
    <row r="60" spans="1:15">
      <c r="A60" s="4" t="str">
        <f>"20160818"</f>
        <v>20160818</v>
      </c>
      <c r="B60" s="4" t="str">
        <f>"20160818"</f>
        <v>20160818</v>
      </c>
      <c r="C60" s="4" t="str">
        <f>"证券买入"</f>
        <v>证券买入</v>
      </c>
      <c r="D60" s="4" t="str">
        <f>"600165"</f>
        <v>600165</v>
      </c>
      <c r="E60" s="4" t="str">
        <f>"新日恒力"</f>
        <v>新日恒力</v>
      </c>
      <c r="F60" s="4">
        <v>14.13</v>
      </c>
      <c r="G60" s="4">
        <v>500</v>
      </c>
      <c r="H60" s="4">
        <v>7065</v>
      </c>
      <c r="I60" s="4">
        <v>-7070.14</v>
      </c>
      <c r="J60" s="4">
        <v>15873.92</v>
      </c>
      <c r="K60" s="4">
        <v>500</v>
      </c>
      <c r="L60" s="4" t="str">
        <f t="shared" si="1"/>
        <v>人民币</v>
      </c>
      <c r="M60" s="4" t="str">
        <f>"1361000760"</f>
        <v>1361000760</v>
      </c>
      <c r="N60" s="4" t="str">
        <f t="shared" si="58"/>
        <v>A368402599</v>
      </c>
      <c r="O60" s="4" t="str">
        <f t="shared" si="3"/>
        <v>300100052893</v>
      </c>
    </row>
    <row r="61" spans="1:15">
      <c r="A61" s="4" t="str">
        <f>"20160822"</f>
        <v>20160822</v>
      </c>
      <c r="B61" s="4" t="str">
        <f>"20160822"</f>
        <v>20160822</v>
      </c>
      <c r="C61" s="4" t="str">
        <f>"证券买入"</f>
        <v>证券买入</v>
      </c>
      <c r="D61" s="4" t="str">
        <f t="shared" ref="D61:D63" si="61">"600886"</f>
        <v>600886</v>
      </c>
      <c r="E61" s="4" t="str">
        <f t="shared" ref="E61:E63" si="62">"国投电力"</f>
        <v>国投电力</v>
      </c>
      <c r="F61" s="4">
        <v>7.28</v>
      </c>
      <c r="G61" s="4">
        <v>2000</v>
      </c>
      <c r="H61" s="4">
        <v>14560</v>
      </c>
      <c r="I61" s="4">
        <v>-14565.29</v>
      </c>
      <c r="J61" s="4">
        <v>1308.63</v>
      </c>
      <c r="K61" s="4">
        <v>12000</v>
      </c>
      <c r="L61" s="4" t="str">
        <f t="shared" si="1"/>
        <v>人民币</v>
      </c>
      <c r="M61" s="4" t="str">
        <f>"1361002801"</f>
        <v>1361002801</v>
      </c>
      <c r="N61" s="4" t="str">
        <f t="shared" si="58"/>
        <v>A368402599</v>
      </c>
      <c r="O61" s="4" t="str">
        <f t="shared" si="3"/>
        <v>300100052893</v>
      </c>
    </row>
    <row r="62" spans="1:15">
      <c r="A62" s="4" t="str">
        <f>"20160824"</f>
        <v>20160824</v>
      </c>
      <c r="B62" s="4" t="str">
        <f>"20160824"</f>
        <v>20160824</v>
      </c>
      <c r="C62" s="4" t="str">
        <f>"证券卖出"</f>
        <v>证券卖出</v>
      </c>
      <c r="D62" s="4" t="str">
        <f t="shared" si="61"/>
        <v>600886</v>
      </c>
      <c r="E62" s="4" t="str">
        <f t="shared" si="62"/>
        <v>国投电力</v>
      </c>
      <c r="F62" s="4">
        <v>7.15</v>
      </c>
      <c r="G62" s="4">
        <v>10000</v>
      </c>
      <c r="H62" s="4">
        <v>71500</v>
      </c>
      <c r="I62" s="4">
        <v>71404.89</v>
      </c>
      <c r="J62" s="4">
        <v>72713.52</v>
      </c>
      <c r="K62" s="4">
        <v>2000</v>
      </c>
      <c r="L62" s="4" t="str">
        <f t="shared" si="1"/>
        <v>人民币</v>
      </c>
      <c r="M62" s="4" t="str">
        <f>"1361004691"</f>
        <v>1361004691</v>
      </c>
      <c r="N62" s="4" t="str">
        <f t="shared" si="58"/>
        <v>A368402599</v>
      </c>
      <c r="O62" s="4" t="str">
        <f t="shared" si="3"/>
        <v>300100052893</v>
      </c>
    </row>
    <row r="63" spans="1:15">
      <c r="A63" s="4" t="str">
        <f>"20160825"</f>
        <v>20160825</v>
      </c>
      <c r="B63" s="4" t="str">
        <f>"0"</f>
        <v>0</v>
      </c>
      <c r="C63" s="4" t="str">
        <f>"股息红利差异扣税"</f>
        <v>股息红利差异扣税</v>
      </c>
      <c r="D63" s="4" t="str">
        <f t="shared" si="61"/>
        <v>600886</v>
      </c>
      <c r="E63" s="4" t="str">
        <f t="shared" si="62"/>
        <v>国投电力</v>
      </c>
      <c r="F63" s="4">
        <v>0</v>
      </c>
      <c r="G63" s="4">
        <v>0</v>
      </c>
      <c r="H63" s="4">
        <v>0</v>
      </c>
      <c r="I63" s="4">
        <v>-111.97</v>
      </c>
      <c r="J63" s="4">
        <v>72601.55</v>
      </c>
      <c r="K63" s="4">
        <v>0</v>
      </c>
      <c r="L63" s="4" t="str">
        <f t="shared" si="1"/>
        <v>人民币</v>
      </c>
      <c r="N63" s="4" t="str">
        <f t="shared" si="58"/>
        <v>A368402599</v>
      </c>
      <c r="O63" s="4" t="str">
        <f t="shared" si="3"/>
        <v>300100052893</v>
      </c>
    </row>
    <row r="64" spans="1:15">
      <c r="A64" s="4" t="str">
        <f>"20160825"</f>
        <v>20160825</v>
      </c>
      <c r="B64" s="4" t="str">
        <f>"20160825"</f>
        <v>20160825</v>
      </c>
      <c r="C64" s="4" t="str">
        <f>"证券转银行"</f>
        <v>证券转银行</v>
      </c>
      <c r="F64" s="4">
        <v>0</v>
      </c>
      <c r="G64" s="4">
        <v>0</v>
      </c>
      <c r="H64" s="4">
        <v>0</v>
      </c>
      <c r="I64" s="4">
        <v>-72601.55</v>
      </c>
      <c r="J64" s="4">
        <v>0</v>
      </c>
      <c r="K64" s="4">
        <v>0</v>
      </c>
      <c r="L64" s="4" t="str">
        <f t="shared" si="1"/>
        <v>人民币</v>
      </c>
      <c r="O64" s="4" t="str">
        <f t="shared" si="3"/>
        <v>300100052893</v>
      </c>
    </row>
    <row r="65" spans="1:15">
      <c r="A65" s="4" t="str">
        <f>"20160826"</f>
        <v>20160826</v>
      </c>
      <c r="B65" s="4" t="str">
        <f>"20160826"</f>
        <v>20160826</v>
      </c>
      <c r="C65" s="4" t="str">
        <f>"银行转证券"</f>
        <v>银行转证券</v>
      </c>
      <c r="F65" s="4">
        <v>0</v>
      </c>
      <c r="G65" s="4">
        <v>0</v>
      </c>
      <c r="H65" s="4">
        <v>0</v>
      </c>
      <c r="I65" s="4">
        <v>1000</v>
      </c>
      <c r="J65" s="4">
        <v>1000</v>
      </c>
      <c r="K65" s="4">
        <v>0</v>
      </c>
      <c r="L65" s="4" t="str">
        <f t="shared" si="1"/>
        <v>人民币</v>
      </c>
      <c r="O65" s="4" t="str">
        <f t="shared" si="3"/>
        <v>300100052893</v>
      </c>
    </row>
    <row r="66" spans="1:15">
      <c r="A66" s="4" t="str">
        <f t="shared" ref="A66:A68" si="63">"20160829"</f>
        <v>20160829</v>
      </c>
      <c r="B66" s="4" t="str">
        <f t="shared" ref="B66:B68" si="64">"20160829"</f>
        <v>20160829</v>
      </c>
      <c r="C66" s="4" t="str">
        <f>"红利入账"</f>
        <v>红利入账</v>
      </c>
      <c r="D66" s="4" t="str">
        <f>"600219"</f>
        <v>600219</v>
      </c>
      <c r="E66" s="4" t="str">
        <f>"南山铝业"</f>
        <v>南山铝业</v>
      </c>
      <c r="F66" s="4">
        <v>0</v>
      </c>
      <c r="G66" s="4">
        <v>4500</v>
      </c>
      <c r="H66" s="4">
        <v>450</v>
      </c>
      <c r="I66" s="4">
        <v>450</v>
      </c>
      <c r="J66" s="4">
        <v>1450</v>
      </c>
      <c r="K66" s="4">
        <v>0</v>
      </c>
      <c r="L66" s="4" t="str">
        <f t="shared" ref="L66:L87" si="65">"人民币"</f>
        <v>人民币</v>
      </c>
      <c r="N66" s="4" t="str">
        <f t="shared" ref="N66:N73" si="66">"A368402599"</f>
        <v>A368402599</v>
      </c>
      <c r="O66" s="4" t="str">
        <f t="shared" ref="O66:O87" si="67">"300100052893"</f>
        <v>300100052893</v>
      </c>
    </row>
    <row r="67" spans="1:15">
      <c r="A67" s="4" t="str">
        <f t="shared" si="63"/>
        <v>20160829</v>
      </c>
      <c r="B67" s="4" t="str">
        <f t="shared" si="64"/>
        <v>20160829</v>
      </c>
      <c r="C67" s="4" t="str">
        <f>"证券卖出"</f>
        <v>证券卖出</v>
      </c>
      <c r="D67" s="4" t="str">
        <f>"511990"</f>
        <v>511990</v>
      </c>
      <c r="E67" s="4" t="str">
        <f>"华宝添益"</f>
        <v>华宝添益</v>
      </c>
      <c r="F67" s="4">
        <v>99.997</v>
      </c>
      <c r="G67" s="4">
        <v>500</v>
      </c>
      <c r="H67" s="4">
        <v>49998.5</v>
      </c>
      <c r="I67" s="4">
        <v>49998.5</v>
      </c>
      <c r="J67" s="4">
        <v>51448.5</v>
      </c>
      <c r="K67" s="4">
        <v>0</v>
      </c>
      <c r="L67" s="4" t="str">
        <f t="shared" si="65"/>
        <v>人民币</v>
      </c>
      <c r="M67" s="4" t="str">
        <f>"1361002217"</f>
        <v>1361002217</v>
      </c>
      <c r="N67" s="4" t="str">
        <f t="shared" si="66"/>
        <v>A368402599</v>
      </c>
      <c r="O67" s="4" t="str">
        <f t="shared" si="67"/>
        <v>300100052893</v>
      </c>
    </row>
    <row r="68" spans="1:15">
      <c r="A68" s="4" t="str">
        <f t="shared" si="63"/>
        <v>20160829</v>
      </c>
      <c r="B68" s="4" t="str">
        <f t="shared" si="64"/>
        <v>20160829</v>
      </c>
      <c r="C68" s="4" t="str">
        <f t="shared" ref="C68:C72" si="68">"证券买入"</f>
        <v>证券买入</v>
      </c>
      <c r="D68" s="4" t="str">
        <f>"600886"</f>
        <v>600886</v>
      </c>
      <c r="E68" s="4" t="str">
        <f>"国投电力"</f>
        <v>国投电力</v>
      </c>
      <c r="F68" s="4">
        <v>7.04</v>
      </c>
      <c r="G68" s="4">
        <v>3000</v>
      </c>
      <c r="H68" s="4">
        <v>21120</v>
      </c>
      <c r="I68" s="4">
        <v>-21126.97</v>
      </c>
      <c r="J68" s="4">
        <v>30321.53</v>
      </c>
      <c r="K68" s="4">
        <v>5000</v>
      </c>
      <c r="L68" s="4" t="str">
        <f t="shared" si="65"/>
        <v>人民币</v>
      </c>
      <c r="M68" s="4" t="str">
        <f>"1361002241"</f>
        <v>1361002241</v>
      </c>
      <c r="N68" s="4" t="str">
        <f t="shared" si="66"/>
        <v>A368402599</v>
      </c>
      <c r="O68" s="4" t="str">
        <f t="shared" si="67"/>
        <v>300100052893</v>
      </c>
    </row>
    <row r="69" spans="1:15">
      <c r="A69" s="4" t="str">
        <f t="shared" ref="A69:A71" si="69">"20160830"</f>
        <v>20160830</v>
      </c>
      <c r="B69" s="4" t="str">
        <f>"20160830"</f>
        <v>20160830</v>
      </c>
      <c r="C69" s="4" t="str">
        <f>"红股入账"</f>
        <v>红股入账</v>
      </c>
      <c r="D69" s="4" t="str">
        <f>"600219"</f>
        <v>600219</v>
      </c>
      <c r="E69" s="4" t="str">
        <f>"DR南山铝"</f>
        <v>DR南山铝</v>
      </c>
      <c r="F69" s="4">
        <v>0</v>
      </c>
      <c r="G69" s="4">
        <v>6750</v>
      </c>
      <c r="H69" s="4">
        <v>0</v>
      </c>
      <c r="I69" s="4">
        <v>0</v>
      </c>
      <c r="J69" s="4">
        <v>30321.53</v>
      </c>
      <c r="K69" s="4">
        <v>11250</v>
      </c>
      <c r="L69" s="4" t="str">
        <f t="shared" si="65"/>
        <v>人民币</v>
      </c>
      <c r="N69" s="4" t="str">
        <f t="shared" si="66"/>
        <v>A368402599</v>
      </c>
      <c r="O69" s="4" t="str">
        <f t="shared" si="67"/>
        <v>300100052893</v>
      </c>
    </row>
    <row r="70" spans="1:15">
      <c r="A70" s="4" t="str">
        <f t="shared" si="69"/>
        <v>20160830</v>
      </c>
      <c r="B70" s="4" t="str">
        <f>"20160830"</f>
        <v>20160830</v>
      </c>
      <c r="C70" s="4" t="str">
        <f t="shared" si="68"/>
        <v>证券买入</v>
      </c>
      <c r="D70" s="4" t="str">
        <f>"600365"</f>
        <v>600365</v>
      </c>
      <c r="E70" s="4" t="str">
        <f>"通葡股份"</f>
        <v>通葡股份</v>
      </c>
      <c r="F70" s="4">
        <v>12.34</v>
      </c>
      <c r="G70" s="4">
        <v>1000</v>
      </c>
      <c r="H70" s="4">
        <v>12340</v>
      </c>
      <c r="I70" s="4">
        <v>-12345.25</v>
      </c>
      <c r="J70" s="4">
        <v>17976.28</v>
      </c>
      <c r="K70" s="4">
        <v>1000</v>
      </c>
      <c r="L70" s="4" t="str">
        <f t="shared" si="65"/>
        <v>人民币</v>
      </c>
      <c r="M70" s="4" t="str">
        <f>"1361002551"</f>
        <v>1361002551</v>
      </c>
      <c r="N70" s="4" t="str">
        <f t="shared" si="66"/>
        <v>A368402599</v>
      </c>
      <c r="O70" s="4" t="str">
        <f t="shared" si="67"/>
        <v>300100052893</v>
      </c>
    </row>
    <row r="71" spans="1:15">
      <c r="A71" s="4" t="str">
        <f t="shared" si="69"/>
        <v>20160830</v>
      </c>
      <c r="B71" s="4" t="str">
        <f>"20160829"</f>
        <v>20160829</v>
      </c>
      <c r="C71" s="4" t="str">
        <f>"ETF 申购退款"</f>
        <v>ETF 申购退款</v>
      </c>
      <c r="D71" s="4" t="str">
        <f>"511990"</f>
        <v>511990</v>
      </c>
      <c r="E71" s="4" t="str">
        <f>"华宝添益"</f>
        <v>华宝添益</v>
      </c>
      <c r="F71" s="4">
        <v>0</v>
      </c>
      <c r="G71" s="4">
        <v>0</v>
      </c>
      <c r="H71" s="4">
        <v>44.19</v>
      </c>
      <c r="I71" s="4">
        <v>44.19</v>
      </c>
      <c r="J71" s="4">
        <v>18020.47</v>
      </c>
      <c r="K71" s="4">
        <v>0</v>
      </c>
      <c r="L71" s="4" t="str">
        <f t="shared" si="65"/>
        <v>人民币</v>
      </c>
      <c r="N71" s="4" t="str">
        <f t="shared" si="66"/>
        <v>A368402599</v>
      </c>
      <c r="O71" s="4" t="str">
        <f t="shared" si="67"/>
        <v>300100052893</v>
      </c>
    </row>
    <row r="72" spans="1:15">
      <c r="A72" s="4" t="str">
        <f>"20160831"</f>
        <v>20160831</v>
      </c>
      <c r="B72" s="4" t="str">
        <f>"20160831"</f>
        <v>20160831</v>
      </c>
      <c r="C72" s="4" t="str">
        <f t="shared" si="68"/>
        <v>证券买入</v>
      </c>
      <c r="D72" s="4" t="str">
        <f>"600886"</f>
        <v>600886</v>
      </c>
      <c r="E72" s="4" t="str">
        <f>"国投电力"</f>
        <v>国投电力</v>
      </c>
      <c r="F72" s="4">
        <v>6.91</v>
      </c>
      <c r="G72" s="4">
        <v>2000</v>
      </c>
      <c r="H72" s="4">
        <v>13820</v>
      </c>
      <c r="I72" s="4">
        <v>-13825.28</v>
      </c>
      <c r="J72" s="4">
        <v>4195.19</v>
      </c>
      <c r="K72" s="4">
        <v>7000</v>
      </c>
      <c r="L72" s="4" t="str">
        <f t="shared" si="65"/>
        <v>人民币</v>
      </c>
      <c r="M72" s="4" t="str">
        <f>"1361000996"</f>
        <v>1361000996</v>
      </c>
      <c r="N72" s="4" t="str">
        <f t="shared" si="66"/>
        <v>A368402599</v>
      </c>
      <c r="O72" s="4" t="str">
        <f t="shared" si="67"/>
        <v>300100052893</v>
      </c>
    </row>
    <row r="73" spans="1:15">
      <c r="A73" s="4" t="str">
        <f>"20160831"</f>
        <v>20160831</v>
      </c>
      <c r="B73" s="4" t="str">
        <f>"20160831"</f>
        <v>20160831</v>
      </c>
      <c r="C73" s="4" t="str">
        <f t="shared" ref="C73:C76" si="70">"证券卖出"</f>
        <v>证券卖出</v>
      </c>
      <c r="D73" s="4" t="str">
        <f>"600365"</f>
        <v>600365</v>
      </c>
      <c r="E73" s="4" t="str">
        <f>"通葡股份"</f>
        <v>通葡股份</v>
      </c>
      <c r="F73" s="4">
        <v>12.51</v>
      </c>
      <c r="G73" s="4">
        <v>1000</v>
      </c>
      <c r="H73" s="4">
        <v>12510</v>
      </c>
      <c r="I73" s="4">
        <v>12492.23</v>
      </c>
      <c r="J73" s="4">
        <v>16687.42</v>
      </c>
      <c r="K73" s="4">
        <v>0</v>
      </c>
      <c r="L73" s="4" t="str">
        <f t="shared" si="65"/>
        <v>人民币</v>
      </c>
      <c r="M73" s="4" t="str">
        <f>"1361001110"</f>
        <v>1361001110</v>
      </c>
      <c r="N73" s="4" t="str">
        <f t="shared" si="66"/>
        <v>A368402599</v>
      </c>
      <c r="O73" s="4" t="str">
        <f t="shared" si="67"/>
        <v>300100052893</v>
      </c>
    </row>
    <row r="74" spans="1:15">
      <c r="A74" s="4" t="str">
        <f>"20160901"</f>
        <v>20160901</v>
      </c>
      <c r="B74" s="4" t="str">
        <f>"20160901"</f>
        <v>20160901</v>
      </c>
      <c r="C74" s="4" t="str">
        <f t="shared" ref="C74:C78" si="71">"证券买入"</f>
        <v>证券买入</v>
      </c>
      <c r="D74" s="4" t="str">
        <f>"000700"</f>
        <v>000700</v>
      </c>
      <c r="E74" s="4" t="str">
        <f>"模塑科技"</f>
        <v>模塑科技</v>
      </c>
      <c r="F74" s="4">
        <v>9.57</v>
      </c>
      <c r="G74" s="4">
        <v>1500</v>
      </c>
      <c r="H74" s="4">
        <v>14355</v>
      </c>
      <c r="I74" s="4">
        <v>-14360</v>
      </c>
      <c r="J74" s="4">
        <v>2327.42</v>
      </c>
      <c r="K74" s="4">
        <v>1500</v>
      </c>
      <c r="L74" s="4" t="str">
        <f t="shared" si="65"/>
        <v>人民币</v>
      </c>
      <c r="M74" s="4" t="str">
        <f>"T4006478"</f>
        <v>T4006478</v>
      </c>
      <c r="N74" s="4" t="str">
        <f>"0149593788"</f>
        <v>0149593788</v>
      </c>
      <c r="O74" s="4" t="str">
        <f t="shared" si="67"/>
        <v>300100052893</v>
      </c>
    </row>
    <row r="75" spans="1:15">
      <c r="A75" s="4" t="str">
        <f t="shared" ref="A75:A78" si="72">"20160902"</f>
        <v>20160902</v>
      </c>
      <c r="B75" s="4" t="str">
        <f t="shared" ref="B75:B78" si="73">"20160902"</f>
        <v>20160902</v>
      </c>
      <c r="C75" s="4" t="str">
        <f t="shared" si="70"/>
        <v>证券卖出</v>
      </c>
      <c r="D75" s="4" t="str">
        <f>"600165"</f>
        <v>600165</v>
      </c>
      <c r="E75" s="4" t="str">
        <f>"新日恒力"</f>
        <v>新日恒力</v>
      </c>
      <c r="F75" s="4">
        <v>12.65</v>
      </c>
      <c r="G75" s="4">
        <v>500</v>
      </c>
      <c r="H75" s="4">
        <v>6325</v>
      </c>
      <c r="I75" s="4">
        <v>6313.52</v>
      </c>
      <c r="J75" s="4">
        <v>8640.94</v>
      </c>
      <c r="K75" s="4">
        <v>0</v>
      </c>
      <c r="L75" s="4" t="str">
        <f t="shared" si="65"/>
        <v>人民币</v>
      </c>
      <c r="M75" s="4" t="str">
        <f>"1361002428"</f>
        <v>1361002428</v>
      </c>
      <c r="N75" s="4" t="str">
        <f t="shared" ref="N75:N84" si="74">"A368402599"</f>
        <v>A368402599</v>
      </c>
      <c r="O75" s="4" t="str">
        <f t="shared" si="67"/>
        <v>300100052893</v>
      </c>
    </row>
    <row r="76" spans="1:15">
      <c r="A76" s="4" t="str">
        <f t="shared" si="72"/>
        <v>20160902</v>
      </c>
      <c r="B76" s="4" t="str">
        <f t="shared" si="73"/>
        <v>20160902</v>
      </c>
      <c r="C76" s="4" t="str">
        <f t="shared" si="70"/>
        <v>证券卖出</v>
      </c>
      <c r="D76" s="4" t="str">
        <f>"000700"</f>
        <v>000700</v>
      </c>
      <c r="E76" s="4" t="str">
        <f>"模塑科技"</f>
        <v>模塑科技</v>
      </c>
      <c r="F76" s="4">
        <v>9.42</v>
      </c>
      <c r="G76" s="4">
        <v>1500</v>
      </c>
      <c r="H76" s="4">
        <v>14130</v>
      </c>
      <c r="I76" s="4">
        <v>14110.87</v>
      </c>
      <c r="J76" s="4">
        <v>22751.81</v>
      </c>
      <c r="K76" s="4">
        <v>0</v>
      </c>
      <c r="L76" s="4" t="str">
        <f t="shared" si="65"/>
        <v>人民币</v>
      </c>
      <c r="M76" s="4" t="str">
        <f>"T4010498"</f>
        <v>T4010498</v>
      </c>
      <c r="N76" s="4" t="str">
        <f>"0149593788"</f>
        <v>0149593788</v>
      </c>
      <c r="O76" s="4" t="str">
        <f t="shared" si="67"/>
        <v>300100052893</v>
      </c>
    </row>
    <row r="77" spans="1:15">
      <c r="A77" s="4" t="str">
        <f t="shared" si="72"/>
        <v>20160902</v>
      </c>
      <c r="B77" s="4" t="str">
        <f t="shared" si="73"/>
        <v>20160902</v>
      </c>
      <c r="C77" s="4" t="str">
        <f t="shared" si="71"/>
        <v>证券买入</v>
      </c>
      <c r="D77" s="4" t="str">
        <f>"600886"</f>
        <v>600886</v>
      </c>
      <c r="E77" s="4" t="str">
        <f>"国投电力"</f>
        <v>国投电力</v>
      </c>
      <c r="F77" s="4">
        <v>6.77</v>
      </c>
      <c r="G77" s="4">
        <v>2000</v>
      </c>
      <c r="H77" s="4">
        <v>13540</v>
      </c>
      <c r="I77" s="4">
        <v>-13545.27</v>
      </c>
      <c r="J77" s="4">
        <v>9206.54</v>
      </c>
      <c r="K77" s="4">
        <v>9000</v>
      </c>
      <c r="L77" s="4" t="str">
        <f t="shared" si="65"/>
        <v>人民币</v>
      </c>
      <c r="M77" s="4" t="str">
        <f>"1361008008"</f>
        <v>1361008008</v>
      </c>
      <c r="N77" s="4" t="str">
        <f t="shared" si="74"/>
        <v>A368402599</v>
      </c>
      <c r="O77" s="4" t="str">
        <f t="shared" si="67"/>
        <v>300100052893</v>
      </c>
    </row>
    <row r="78" spans="1:15">
      <c r="A78" s="4" t="str">
        <f t="shared" si="72"/>
        <v>20160902</v>
      </c>
      <c r="B78" s="4" t="str">
        <f t="shared" si="73"/>
        <v>20160902</v>
      </c>
      <c r="C78" s="4" t="str">
        <f t="shared" si="71"/>
        <v>证券买入</v>
      </c>
      <c r="D78" s="4" t="str">
        <f t="shared" ref="D78:D82" si="75">"600219"</f>
        <v>600219</v>
      </c>
      <c r="E78" s="4" t="str">
        <f t="shared" ref="E78:E82" si="76">"南山铝业"</f>
        <v>南山铝业</v>
      </c>
      <c r="F78" s="4">
        <v>3.04</v>
      </c>
      <c r="G78" s="4">
        <v>2900</v>
      </c>
      <c r="H78" s="4">
        <v>8816</v>
      </c>
      <c r="I78" s="4">
        <v>-8821.18</v>
      </c>
      <c r="J78" s="4">
        <v>385.36</v>
      </c>
      <c r="K78" s="4">
        <v>14150</v>
      </c>
      <c r="L78" s="4" t="str">
        <f t="shared" si="65"/>
        <v>人民币</v>
      </c>
      <c r="M78" s="4" t="str">
        <f>"1361008332"</f>
        <v>1361008332</v>
      </c>
      <c r="N78" s="4" t="str">
        <f t="shared" si="74"/>
        <v>A368402599</v>
      </c>
      <c r="O78" s="4" t="str">
        <f t="shared" si="67"/>
        <v>300100052893</v>
      </c>
    </row>
    <row r="79" spans="1:15">
      <c r="A79" s="4" t="str">
        <f>"20160906"</f>
        <v>20160906</v>
      </c>
      <c r="B79" s="4" t="str">
        <f>"20160906"</f>
        <v>20160906</v>
      </c>
      <c r="C79" s="4" t="str">
        <f>"证券卖出"</f>
        <v>证券卖出</v>
      </c>
      <c r="D79" s="4" t="str">
        <f>"600886"</f>
        <v>600886</v>
      </c>
      <c r="E79" s="4" t="str">
        <f>"国投电力"</f>
        <v>国投电力</v>
      </c>
      <c r="F79" s="4">
        <v>6.88</v>
      </c>
      <c r="G79" s="4">
        <v>2000</v>
      </c>
      <c r="H79" s="4">
        <v>13760</v>
      </c>
      <c r="I79" s="4">
        <v>13740.96</v>
      </c>
      <c r="J79" s="4">
        <v>14126.32</v>
      </c>
      <c r="K79" s="4">
        <v>7000</v>
      </c>
      <c r="L79" s="4" t="str">
        <f t="shared" si="65"/>
        <v>人民币</v>
      </c>
      <c r="M79" s="4" t="str">
        <f>"1361003466"</f>
        <v>1361003466</v>
      </c>
      <c r="N79" s="4" t="str">
        <f t="shared" si="74"/>
        <v>A368402599</v>
      </c>
      <c r="O79" s="4" t="str">
        <f t="shared" si="67"/>
        <v>300100052893</v>
      </c>
    </row>
    <row r="80" spans="1:15">
      <c r="A80" s="4" t="str">
        <f>"20160906"</f>
        <v>20160906</v>
      </c>
      <c r="B80" s="4" t="str">
        <f>"20160906"</f>
        <v>20160906</v>
      </c>
      <c r="C80" s="4" t="str">
        <f>"证券卖出"</f>
        <v>证券卖出</v>
      </c>
      <c r="D80" s="4" t="str">
        <f t="shared" si="75"/>
        <v>600219</v>
      </c>
      <c r="E80" s="4" t="str">
        <f t="shared" si="76"/>
        <v>南山铝业</v>
      </c>
      <c r="F80" s="4">
        <v>3.09</v>
      </c>
      <c r="G80" s="4">
        <v>2900</v>
      </c>
      <c r="H80" s="4">
        <v>8961</v>
      </c>
      <c r="I80" s="4">
        <v>8946.86</v>
      </c>
      <c r="J80" s="4">
        <v>23073.18</v>
      </c>
      <c r="K80" s="4">
        <v>11250</v>
      </c>
      <c r="L80" s="4" t="str">
        <f t="shared" si="65"/>
        <v>人民币</v>
      </c>
      <c r="M80" s="4" t="str">
        <f>"1361003924"</f>
        <v>1361003924</v>
      </c>
      <c r="N80" s="4" t="str">
        <f t="shared" si="74"/>
        <v>A368402599</v>
      </c>
      <c r="O80" s="4" t="str">
        <f t="shared" si="67"/>
        <v>300100052893</v>
      </c>
    </row>
    <row r="81" spans="1:15">
      <c r="A81" s="4" t="str">
        <f>"20160907"</f>
        <v>20160907</v>
      </c>
      <c r="B81" s="4" t="str">
        <f>"0"</f>
        <v>0</v>
      </c>
      <c r="C81" s="4" t="str">
        <f>"股息红利差异扣税"</f>
        <v>股息红利差异扣税</v>
      </c>
      <c r="D81" s="4" t="str">
        <f t="shared" si="75"/>
        <v>600219</v>
      </c>
      <c r="E81" s="4" t="str">
        <f t="shared" si="76"/>
        <v>南山铝业</v>
      </c>
      <c r="F81" s="4">
        <v>0</v>
      </c>
      <c r="G81" s="4">
        <v>0</v>
      </c>
      <c r="H81" s="4">
        <v>0</v>
      </c>
      <c r="I81" s="4">
        <v>-20</v>
      </c>
      <c r="J81" s="4">
        <v>23053.18</v>
      </c>
      <c r="K81" s="4">
        <v>0</v>
      </c>
      <c r="L81" s="4" t="str">
        <f t="shared" si="65"/>
        <v>人民币</v>
      </c>
      <c r="N81" s="4" t="str">
        <f t="shared" si="74"/>
        <v>A368402599</v>
      </c>
      <c r="O81" s="4" t="str">
        <f t="shared" si="67"/>
        <v>300100052893</v>
      </c>
    </row>
    <row r="82" spans="1:15">
      <c r="A82" s="4" t="str">
        <f>"20160907"</f>
        <v>20160907</v>
      </c>
      <c r="B82" s="4" t="str">
        <f>"0"</f>
        <v>0</v>
      </c>
      <c r="C82" s="4" t="str">
        <f>"股息红利差异扣税"</f>
        <v>股息红利差异扣税</v>
      </c>
      <c r="D82" s="4" t="str">
        <f t="shared" si="75"/>
        <v>600219</v>
      </c>
      <c r="E82" s="4" t="str">
        <f t="shared" si="76"/>
        <v>南山铝业</v>
      </c>
      <c r="F82" s="4">
        <v>0</v>
      </c>
      <c r="G82" s="4">
        <v>0</v>
      </c>
      <c r="H82" s="4">
        <v>0</v>
      </c>
      <c r="I82" s="4">
        <v>-9</v>
      </c>
      <c r="J82" s="4">
        <v>23044.18</v>
      </c>
      <c r="K82" s="4">
        <v>0</v>
      </c>
      <c r="L82" s="4" t="str">
        <f t="shared" si="65"/>
        <v>人民币</v>
      </c>
      <c r="N82" s="4" t="str">
        <f t="shared" si="74"/>
        <v>A368402599</v>
      </c>
      <c r="O82" s="4" t="str">
        <f t="shared" si="67"/>
        <v>300100052893</v>
      </c>
    </row>
    <row r="83" spans="1:15">
      <c r="A83" s="4" t="str">
        <f>"20160909"</f>
        <v>20160909</v>
      </c>
      <c r="B83" s="4" t="str">
        <f>"20160909"</f>
        <v>20160909</v>
      </c>
      <c r="C83" s="4" t="str">
        <f t="shared" ref="C83:C87" si="77">"证券买入"</f>
        <v>证券买入</v>
      </c>
      <c r="D83" s="4" t="str">
        <f>"600886"</f>
        <v>600886</v>
      </c>
      <c r="E83" s="4" t="str">
        <f>"国投电力"</f>
        <v>国投电力</v>
      </c>
      <c r="F83" s="4">
        <v>6.86</v>
      </c>
      <c r="G83" s="4">
        <v>2000</v>
      </c>
      <c r="H83" s="4">
        <v>13720</v>
      </c>
      <c r="I83" s="4">
        <v>-13725.28</v>
      </c>
      <c r="J83" s="4">
        <v>9318.9</v>
      </c>
      <c r="K83" s="4">
        <v>9000</v>
      </c>
      <c r="L83" s="4" t="str">
        <f t="shared" si="65"/>
        <v>人民币</v>
      </c>
      <c r="M83" s="4" t="str">
        <f>"1361001157"</f>
        <v>1361001157</v>
      </c>
      <c r="N83" s="4" t="str">
        <f t="shared" si="74"/>
        <v>A368402599</v>
      </c>
      <c r="O83" s="4" t="str">
        <f t="shared" si="67"/>
        <v>300100052893</v>
      </c>
    </row>
    <row r="84" spans="1:15">
      <c r="A84" s="4" t="str">
        <f>"20160912"</f>
        <v>20160912</v>
      </c>
      <c r="B84" s="4" t="str">
        <f>"20160912"</f>
        <v>20160912</v>
      </c>
      <c r="C84" s="4" t="str">
        <f t="shared" si="77"/>
        <v>证券买入</v>
      </c>
      <c r="D84" s="4" t="str">
        <f>"510300"</f>
        <v>510300</v>
      </c>
      <c r="E84" s="4" t="str">
        <f>"300ETF"</f>
        <v>300ETF</v>
      </c>
      <c r="F84" s="4">
        <v>3.327</v>
      </c>
      <c r="G84" s="4">
        <v>2700</v>
      </c>
      <c r="H84" s="4">
        <v>8982.9</v>
      </c>
      <c r="I84" s="4">
        <v>-8987.9</v>
      </c>
      <c r="J84" s="4">
        <v>331</v>
      </c>
      <c r="K84" s="4">
        <v>4700</v>
      </c>
      <c r="L84" s="4" t="str">
        <f t="shared" si="65"/>
        <v>人民币</v>
      </c>
      <c r="M84" s="4" t="str">
        <f>"1361000885"</f>
        <v>1361000885</v>
      </c>
      <c r="N84" s="4" t="str">
        <f t="shared" si="74"/>
        <v>A368402599</v>
      </c>
      <c r="O84" s="4" t="str">
        <f t="shared" si="67"/>
        <v>300100052893</v>
      </c>
    </row>
    <row r="85" spans="1:15">
      <c r="A85" s="4" t="str">
        <f>"20160920"</f>
        <v>20160920</v>
      </c>
      <c r="B85" s="4" t="str">
        <f>"20160920"</f>
        <v>20160920</v>
      </c>
      <c r="C85" s="4" t="str">
        <f>"利息归本"</f>
        <v>利息归本</v>
      </c>
      <c r="F85" s="4">
        <v>0</v>
      </c>
      <c r="G85" s="4">
        <v>0</v>
      </c>
      <c r="H85" s="4">
        <v>0</v>
      </c>
      <c r="I85" s="4">
        <v>30.51</v>
      </c>
      <c r="J85" s="4">
        <v>361.51</v>
      </c>
      <c r="K85" s="4">
        <v>0</v>
      </c>
      <c r="L85" s="4" t="str">
        <f t="shared" si="65"/>
        <v>人民币</v>
      </c>
      <c r="O85" s="4" t="str">
        <f t="shared" si="67"/>
        <v>300100052893</v>
      </c>
    </row>
    <row r="86" spans="1:15">
      <c r="A86" s="4" t="str">
        <f>"20160923"</f>
        <v>20160923</v>
      </c>
      <c r="B86" s="4" t="str">
        <f>"20160923"</f>
        <v>20160923</v>
      </c>
      <c r="C86" s="4" t="str">
        <f>"证券卖出"</f>
        <v>证券卖出</v>
      </c>
      <c r="D86" s="4" t="str">
        <f>"510300"</f>
        <v>510300</v>
      </c>
      <c r="E86" s="4" t="str">
        <f>"300ETF"</f>
        <v>300ETF</v>
      </c>
      <c r="F86" s="4">
        <v>3.338</v>
      </c>
      <c r="G86" s="4">
        <v>2700</v>
      </c>
      <c r="H86" s="4">
        <v>9012.6</v>
      </c>
      <c r="I86" s="4">
        <v>9007.6</v>
      </c>
      <c r="J86" s="4">
        <v>9369.11</v>
      </c>
      <c r="K86" s="4">
        <v>2000</v>
      </c>
      <c r="L86" s="4" t="str">
        <f t="shared" si="65"/>
        <v>人民币</v>
      </c>
      <c r="M86" s="4" t="str">
        <f>"1361004957"</f>
        <v>1361004957</v>
      </c>
      <c r="N86" s="4" t="str">
        <f>"A368402599"</f>
        <v>A368402599</v>
      </c>
      <c r="O86" s="4" t="str">
        <f t="shared" si="67"/>
        <v>300100052893</v>
      </c>
    </row>
    <row r="87" spans="1:15">
      <c r="A87" s="4" t="str">
        <f>"20160923"</f>
        <v>20160923</v>
      </c>
      <c r="B87" s="4" t="str">
        <f>"20160923"</f>
        <v>20160923</v>
      </c>
      <c r="C87" s="4" t="str">
        <f t="shared" si="77"/>
        <v>证券买入</v>
      </c>
      <c r="D87" s="4" t="str">
        <f>"600219"</f>
        <v>600219</v>
      </c>
      <c r="E87" s="4" t="str">
        <f>"南山铝业"</f>
        <v>南山铝业</v>
      </c>
      <c r="F87" s="4">
        <v>3.01</v>
      </c>
      <c r="G87" s="4">
        <v>3000</v>
      </c>
      <c r="H87" s="4">
        <v>9030</v>
      </c>
      <c r="I87" s="4">
        <v>-9035.18</v>
      </c>
      <c r="J87" s="4">
        <v>333.93</v>
      </c>
      <c r="K87" s="4">
        <v>14250</v>
      </c>
      <c r="L87" s="4" t="str">
        <f t="shared" si="65"/>
        <v>人民币</v>
      </c>
      <c r="M87" s="4" t="str">
        <f>"1361005118"</f>
        <v>1361005118</v>
      </c>
      <c r="N87" s="4" t="str">
        <f>"A368402599"</f>
        <v>A368402599</v>
      </c>
      <c r="O87" s="4" t="str">
        <f t="shared" si="67"/>
        <v>300100052893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2"/>
  <sheetViews>
    <sheetView topLeftCell="A91" workbookViewId="0">
      <selection activeCell="A2" sqref="A2:K112"/>
    </sheetView>
  </sheetViews>
  <sheetFormatPr defaultColWidth="9" defaultRowHeight="13.5"/>
  <cols>
    <col min="1" max="16384" width="9" style="4"/>
  </cols>
  <sheetData>
    <row r="1" spans="1:15">
      <c r="A1" s="4" t="str">
        <f>"购买日期"</f>
        <v>购买日期</v>
      </c>
      <c r="B1" s="4" t="str">
        <f>"委托日期"</f>
        <v>委托日期</v>
      </c>
      <c r="C1" s="4" t="str">
        <f>"业务类型"</f>
        <v>业务类型</v>
      </c>
      <c r="D1" s="4" t="str">
        <f>"证券代码"</f>
        <v>证券代码</v>
      </c>
      <c r="E1" s="4" t="str">
        <f>"证券名称"</f>
        <v>证券名称</v>
      </c>
      <c r="F1" s="4" t="str">
        <f>"成交价格"</f>
        <v>成交价格</v>
      </c>
      <c r="G1" s="4" t="str">
        <f>"成交数量"</f>
        <v>成交数量</v>
      </c>
      <c r="H1" s="4" t="str">
        <f>"成交金额"</f>
        <v>成交金额</v>
      </c>
      <c r="I1" s="4" t="str">
        <f>"发生金额"</f>
        <v>发生金额</v>
      </c>
      <c r="J1" s="4" t="str">
        <f>"资金余额"</f>
        <v>资金余额</v>
      </c>
      <c r="K1" s="4" t="str">
        <f>"当前持仓"</f>
        <v>当前持仓</v>
      </c>
      <c r="L1" s="4" t="str">
        <f>"币种"</f>
        <v>币种</v>
      </c>
      <c r="M1" s="4" t="str">
        <f>"协议编号"</f>
        <v>协议编号</v>
      </c>
      <c r="N1" s="4" t="str">
        <f>"股东代码"</f>
        <v>股东代码</v>
      </c>
      <c r="O1" s="4" t="str">
        <f>"产品账号"</f>
        <v>产品账号</v>
      </c>
    </row>
    <row r="2" spans="1:15">
      <c r="A2" s="4" t="str">
        <f>"20161017"</f>
        <v>20161017</v>
      </c>
      <c r="B2" s="4" t="str">
        <f>"20161017"</f>
        <v>20161017</v>
      </c>
      <c r="C2" s="4" t="str">
        <f>"银行转证券"</f>
        <v>银行转证券</v>
      </c>
      <c r="F2" s="4">
        <v>0</v>
      </c>
      <c r="G2" s="4">
        <v>0</v>
      </c>
      <c r="H2" s="4">
        <v>0</v>
      </c>
      <c r="I2" s="4">
        <v>30000</v>
      </c>
      <c r="J2" s="4">
        <v>30333.93</v>
      </c>
      <c r="K2" s="4">
        <v>0</v>
      </c>
      <c r="L2" s="4" t="str">
        <f t="shared" ref="L2:L65" si="0">"人民币"</f>
        <v>人民币</v>
      </c>
      <c r="O2" s="4" t="str">
        <f t="shared" ref="O2:O65" si="1">"300100052893"</f>
        <v>300100052893</v>
      </c>
    </row>
    <row r="3" spans="1:15">
      <c r="A3" s="4" t="str">
        <f>"20161017"</f>
        <v>20161017</v>
      </c>
      <c r="B3" s="4" t="str">
        <f>"20161017"</f>
        <v>20161017</v>
      </c>
      <c r="C3" s="4" t="str">
        <f t="shared" ref="C3:C8" si="2">"证券买入"</f>
        <v>证券买入</v>
      </c>
      <c r="D3" s="4" t="str">
        <f>"600886"</f>
        <v>600886</v>
      </c>
      <c r="E3" s="4" t="str">
        <f>"国投电力"</f>
        <v>国投电力</v>
      </c>
      <c r="F3" s="4">
        <v>6.58</v>
      </c>
      <c r="G3" s="4">
        <v>4000</v>
      </c>
      <c r="H3" s="4">
        <v>26320</v>
      </c>
      <c r="I3" s="4">
        <v>-26328.69</v>
      </c>
      <c r="J3" s="4">
        <v>4005.24</v>
      </c>
      <c r="K3" s="4">
        <v>13000</v>
      </c>
      <c r="L3" s="4" t="str">
        <f t="shared" si="0"/>
        <v>人民币</v>
      </c>
      <c r="M3" s="4" t="str">
        <f>"1361007984"</f>
        <v>1361007984</v>
      </c>
      <c r="N3" s="4" t="str">
        <f t="shared" ref="N3:N19" si="3">"A368402599"</f>
        <v>A368402599</v>
      </c>
      <c r="O3" s="4" t="str">
        <f t="shared" si="1"/>
        <v>300100052893</v>
      </c>
    </row>
    <row r="4" spans="1:15">
      <c r="A4" s="4" t="str">
        <f>"20161019"</f>
        <v>20161019</v>
      </c>
      <c r="B4" s="4" t="str">
        <f>"20161019"</f>
        <v>20161019</v>
      </c>
      <c r="C4" s="4" t="str">
        <f t="shared" ref="C4:C7" si="4">"证券卖出"</f>
        <v>证券卖出</v>
      </c>
      <c r="D4" s="4" t="str">
        <f>"600886"</f>
        <v>600886</v>
      </c>
      <c r="E4" s="4" t="str">
        <f>"国投电力"</f>
        <v>国投电力</v>
      </c>
      <c r="F4" s="4">
        <v>6.72</v>
      </c>
      <c r="G4" s="4">
        <v>4000</v>
      </c>
      <c r="H4" s="4">
        <v>26880</v>
      </c>
      <c r="I4" s="4">
        <v>26844.25</v>
      </c>
      <c r="J4" s="4">
        <v>30849.49</v>
      </c>
      <c r="K4" s="4">
        <v>9000</v>
      </c>
      <c r="L4" s="4" t="str">
        <f t="shared" si="0"/>
        <v>人民币</v>
      </c>
      <c r="M4" s="4" t="str">
        <f>"1361004504"</f>
        <v>1361004504</v>
      </c>
      <c r="N4" s="4" t="str">
        <f t="shared" si="3"/>
        <v>A368402599</v>
      </c>
      <c r="O4" s="4" t="str">
        <f t="shared" si="1"/>
        <v>300100052893</v>
      </c>
    </row>
    <row r="5" spans="1:15">
      <c r="A5" s="4" t="str">
        <f>"20161019"</f>
        <v>20161019</v>
      </c>
      <c r="B5" s="4" t="str">
        <f>"20161019"</f>
        <v>20161019</v>
      </c>
      <c r="C5" s="4" t="str">
        <f t="shared" si="2"/>
        <v>证券买入</v>
      </c>
      <c r="D5" s="4" t="str">
        <f>"600886"</f>
        <v>600886</v>
      </c>
      <c r="E5" s="4" t="str">
        <f>"国投电力"</f>
        <v>国投电力</v>
      </c>
      <c r="F5" s="4">
        <v>6.67</v>
      </c>
      <c r="G5" s="4">
        <v>4000</v>
      </c>
      <c r="H5" s="4">
        <v>26680</v>
      </c>
      <c r="I5" s="4">
        <v>-26688.8</v>
      </c>
      <c r="J5" s="4">
        <v>4160.69</v>
      </c>
      <c r="K5" s="4">
        <v>13000</v>
      </c>
      <c r="L5" s="4" t="str">
        <f t="shared" si="0"/>
        <v>人民币</v>
      </c>
      <c r="M5" s="4" t="str">
        <f>"1361007363"</f>
        <v>1361007363</v>
      </c>
      <c r="N5" s="4" t="str">
        <f t="shared" si="3"/>
        <v>A368402599</v>
      </c>
      <c r="O5" s="4" t="str">
        <f t="shared" si="1"/>
        <v>300100052893</v>
      </c>
    </row>
    <row r="6" spans="1:15">
      <c r="A6" s="4" t="str">
        <f>"20161024"</f>
        <v>20161024</v>
      </c>
      <c r="B6" s="4" t="str">
        <f>"20161024"</f>
        <v>20161024</v>
      </c>
      <c r="C6" s="4" t="str">
        <f t="shared" si="4"/>
        <v>证券卖出</v>
      </c>
      <c r="D6" s="4" t="str">
        <f>"510300"</f>
        <v>510300</v>
      </c>
      <c r="E6" s="4" t="str">
        <f>"300ETF"</f>
        <v>300ETF</v>
      </c>
      <c r="F6" s="4">
        <v>3.438</v>
      </c>
      <c r="G6" s="4">
        <v>2000</v>
      </c>
      <c r="H6" s="4">
        <v>6876</v>
      </c>
      <c r="I6" s="4">
        <v>6871</v>
      </c>
      <c r="J6" s="4">
        <v>11031.69</v>
      </c>
      <c r="K6" s="4">
        <v>0</v>
      </c>
      <c r="L6" s="4" t="str">
        <f t="shared" si="0"/>
        <v>人民币</v>
      </c>
      <c r="M6" s="4" t="str">
        <f>"1361004175"</f>
        <v>1361004175</v>
      </c>
      <c r="N6" s="4" t="str">
        <f t="shared" si="3"/>
        <v>A368402599</v>
      </c>
      <c r="O6" s="4" t="str">
        <f t="shared" si="1"/>
        <v>300100052893</v>
      </c>
    </row>
    <row r="7" spans="1:15">
      <c r="A7" s="4" t="str">
        <f>"20161026"</f>
        <v>20161026</v>
      </c>
      <c r="B7" s="4" t="str">
        <f>"20161026"</f>
        <v>20161026</v>
      </c>
      <c r="C7" s="4" t="str">
        <f t="shared" si="4"/>
        <v>证券卖出</v>
      </c>
      <c r="D7" s="4" t="str">
        <f t="shared" ref="D7:D10" si="5">"600219"</f>
        <v>600219</v>
      </c>
      <c r="E7" s="4" t="str">
        <f t="shared" ref="E7:E10" si="6">"南山铝业"</f>
        <v>南山铝业</v>
      </c>
      <c r="F7" s="4">
        <v>3.11</v>
      </c>
      <c r="G7" s="4">
        <v>3000</v>
      </c>
      <c r="H7" s="4">
        <v>9330</v>
      </c>
      <c r="I7" s="4">
        <v>9315.48</v>
      </c>
      <c r="J7" s="4">
        <v>20347.17</v>
      </c>
      <c r="K7" s="4">
        <v>11250</v>
      </c>
      <c r="L7" s="4" t="str">
        <f t="shared" si="0"/>
        <v>人民币</v>
      </c>
      <c r="M7" s="4" t="str">
        <f>"1361002553"</f>
        <v>1361002553</v>
      </c>
      <c r="N7" s="4" t="str">
        <f t="shared" si="3"/>
        <v>A368402599</v>
      </c>
      <c r="O7" s="4" t="str">
        <f t="shared" si="1"/>
        <v>300100052893</v>
      </c>
    </row>
    <row r="8" spans="1:15">
      <c r="A8" s="4" t="str">
        <f>"20161026"</f>
        <v>20161026</v>
      </c>
      <c r="B8" s="4" t="str">
        <f>"20161026"</f>
        <v>20161026</v>
      </c>
      <c r="C8" s="4" t="str">
        <f t="shared" si="2"/>
        <v>证券买入</v>
      </c>
      <c r="D8" s="4" t="str">
        <f>"511990"</f>
        <v>511990</v>
      </c>
      <c r="E8" s="4" t="str">
        <f>"华宝添益"</f>
        <v>华宝添益</v>
      </c>
      <c r="F8" s="4">
        <v>99.974</v>
      </c>
      <c r="G8" s="4">
        <v>200</v>
      </c>
      <c r="H8" s="4">
        <v>19994.8</v>
      </c>
      <c r="I8" s="4">
        <v>-19994.8</v>
      </c>
      <c r="J8" s="4">
        <v>352.37</v>
      </c>
      <c r="K8" s="4">
        <v>200</v>
      </c>
      <c r="L8" s="4" t="str">
        <f t="shared" si="0"/>
        <v>人民币</v>
      </c>
      <c r="M8" s="4" t="str">
        <f>"1361004527"</f>
        <v>1361004527</v>
      </c>
      <c r="N8" s="4" t="str">
        <f t="shared" si="3"/>
        <v>A368402599</v>
      </c>
      <c r="O8" s="4" t="str">
        <f t="shared" si="1"/>
        <v>300100052893</v>
      </c>
    </row>
    <row r="9" spans="1:15">
      <c r="A9" s="4" t="str">
        <f>"20161027"</f>
        <v>20161027</v>
      </c>
      <c r="B9" s="4" t="str">
        <f>"0"</f>
        <v>0</v>
      </c>
      <c r="C9" s="4" t="str">
        <f>"股息红利差异扣税"</f>
        <v>股息红利差异扣税</v>
      </c>
      <c r="D9" s="4" t="str">
        <f t="shared" si="5"/>
        <v>600219</v>
      </c>
      <c r="E9" s="4" t="str">
        <f t="shared" si="6"/>
        <v>南山铝业</v>
      </c>
      <c r="F9" s="4">
        <v>0</v>
      </c>
      <c r="G9" s="4">
        <v>0</v>
      </c>
      <c r="H9" s="4">
        <v>0</v>
      </c>
      <c r="I9" s="4">
        <v>-11</v>
      </c>
      <c r="J9" s="4">
        <v>341.37</v>
      </c>
      <c r="K9" s="4">
        <v>0</v>
      </c>
      <c r="L9" s="4" t="str">
        <f t="shared" si="0"/>
        <v>人民币</v>
      </c>
      <c r="N9" s="4" t="str">
        <f t="shared" si="3"/>
        <v>A368402599</v>
      </c>
      <c r="O9" s="4" t="str">
        <f t="shared" si="1"/>
        <v>300100052893</v>
      </c>
    </row>
    <row r="10" spans="1:15">
      <c r="A10" s="4" t="str">
        <f>"20161027"</f>
        <v>20161027</v>
      </c>
      <c r="B10" s="4" t="str">
        <f>"0"</f>
        <v>0</v>
      </c>
      <c r="C10" s="4" t="str">
        <f>"股息红利差异扣税"</f>
        <v>股息红利差异扣税</v>
      </c>
      <c r="D10" s="4" t="str">
        <f t="shared" si="5"/>
        <v>600219</v>
      </c>
      <c r="E10" s="4" t="str">
        <f t="shared" si="6"/>
        <v>南山铝业</v>
      </c>
      <c r="F10" s="4">
        <v>0</v>
      </c>
      <c r="G10" s="4">
        <v>0</v>
      </c>
      <c r="H10" s="4">
        <v>0</v>
      </c>
      <c r="I10" s="4">
        <v>-5</v>
      </c>
      <c r="J10" s="4">
        <v>336.37</v>
      </c>
      <c r="K10" s="4">
        <v>0</v>
      </c>
      <c r="L10" s="4" t="str">
        <f t="shared" si="0"/>
        <v>人民币</v>
      </c>
      <c r="N10" s="4" t="str">
        <f t="shared" si="3"/>
        <v>A368402599</v>
      </c>
      <c r="O10" s="4" t="str">
        <f t="shared" si="1"/>
        <v>300100052893</v>
      </c>
    </row>
    <row r="11" spans="1:15">
      <c r="A11" s="4" t="str">
        <f>"20161028"</f>
        <v>20161028</v>
      </c>
      <c r="B11" s="4" t="str">
        <f>"20161027"</f>
        <v>20161027</v>
      </c>
      <c r="C11" s="4" t="str">
        <f>"ETF 基金赎回"</f>
        <v>ETF 基金赎回</v>
      </c>
      <c r="D11" s="4" t="str">
        <f>"511991"</f>
        <v>511991</v>
      </c>
      <c r="E11" s="4" t="str">
        <f>"添益申赎"</f>
        <v>添益申赎</v>
      </c>
      <c r="F11" s="4">
        <v>0</v>
      </c>
      <c r="G11" s="4">
        <v>200</v>
      </c>
      <c r="H11" s="4">
        <v>0</v>
      </c>
      <c r="I11" s="4">
        <v>0</v>
      </c>
      <c r="J11" s="4">
        <v>336.37</v>
      </c>
      <c r="K11" s="4">
        <v>0</v>
      </c>
      <c r="L11" s="4" t="str">
        <f t="shared" si="0"/>
        <v>人民币</v>
      </c>
      <c r="M11" s="4" t="str">
        <f>"1361005741"</f>
        <v>1361005741</v>
      </c>
      <c r="N11" s="4" t="str">
        <f t="shared" si="3"/>
        <v>A368402599</v>
      </c>
      <c r="O11" s="4" t="str">
        <f t="shared" si="1"/>
        <v>300100052893</v>
      </c>
    </row>
    <row r="12" spans="1:15">
      <c r="A12" s="4" t="str">
        <f>"20161028"</f>
        <v>20161028</v>
      </c>
      <c r="B12" s="4" t="str">
        <f>"20161027"</f>
        <v>20161027</v>
      </c>
      <c r="C12" s="4" t="str">
        <f>"ETF 申购退款"</f>
        <v>ETF 申购退款</v>
      </c>
      <c r="D12" s="4" t="str">
        <f>"511990"</f>
        <v>511990</v>
      </c>
      <c r="E12" s="4" t="str">
        <f>"华宝添益"</f>
        <v>华宝添益</v>
      </c>
      <c r="F12" s="4">
        <v>0</v>
      </c>
      <c r="G12" s="4">
        <v>0</v>
      </c>
      <c r="H12" s="4">
        <v>20002.53</v>
      </c>
      <c r="I12" s="4">
        <v>20002.53</v>
      </c>
      <c r="J12" s="4">
        <v>20338.9</v>
      </c>
      <c r="K12" s="4">
        <v>0</v>
      </c>
      <c r="L12" s="4" t="str">
        <f t="shared" si="0"/>
        <v>人民币</v>
      </c>
      <c r="N12" s="4" t="str">
        <f t="shared" si="3"/>
        <v>A368402599</v>
      </c>
      <c r="O12" s="4" t="str">
        <f t="shared" si="1"/>
        <v>300100052893</v>
      </c>
    </row>
    <row r="13" spans="1:15">
      <c r="A13" s="4" t="str">
        <f>"20161103"</f>
        <v>20161103</v>
      </c>
      <c r="B13" s="4" t="str">
        <f>"20161103"</f>
        <v>20161103</v>
      </c>
      <c r="C13" s="4" t="str">
        <f>"证券卖出"</f>
        <v>证券卖出</v>
      </c>
      <c r="D13" s="4" t="str">
        <f t="shared" ref="D13:D17" si="7">"600886"</f>
        <v>600886</v>
      </c>
      <c r="E13" s="4" t="str">
        <f t="shared" ref="E13:E17" si="8">"国投电力"</f>
        <v>国投电力</v>
      </c>
      <c r="F13" s="4">
        <v>6.58</v>
      </c>
      <c r="G13" s="4">
        <v>13000</v>
      </c>
      <c r="H13" s="4">
        <v>85540</v>
      </c>
      <c r="I13" s="4">
        <v>85426.23</v>
      </c>
      <c r="J13" s="4">
        <v>105765.13</v>
      </c>
      <c r="K13" s="4">
        <v>0</v>
      </c>
      <c r="L13" s="4" t="str">
        <f t="shared" si="0"/>
        <v>人民币</v>
      </c>
      <c r="M13" s="4" t="str">
        <f>"1361003912"</f>
        <v>1361003912</v>
      </c>
      <c r="N13" s="4" t="str">
        <f t="shared" si="3"/>
        <v>A368402599</v>
      </c>
      <c r="O13" s="4" t="str">
        <f t="shared" si="1"/>
        <v>300100052893</v>
      </c>
    </row>
    <row r="14" spans="1:15">
      <c r="A14" s="4" t="str">
        <f>"20161104"</f>
        <v>20161104</v>
      </c>
      <c r="B14" s="4" t="str">
        <f>"20161104"</f>
        <v>20161104</v>
      </c>
      <c r="C14" s="4" t="str">
        <f t="shared" ref="C14:C19" si="9">"证券买入"</f>
        <v>证券买入</v>
      </c>
      <c r="D14" s="4" t="str">
        <f t="shared" si="7"/>
        <v>600886</v>
      </c>
      <c r="E14" s="4" t="str">
        <f t="shared" si="8"/>
        <v>国投电力</v>
      </c>
      <c r="F14" s="4">
        <v>6.51</v>
      </c>
      <c r="G14" s="4">
        <v>2000</v>
      </c>
      <c r="H14" s="4">
        <v>13020</v>
      </c>
      <c r="I14" s="4">
        <v>-13025.26</v>
      </c>
      <c r="J14" s="4">
        <v>92739.87</v>
      </c>
      <c r="K14" s="4">
        <v>2000</v>
      </c>
      <c r="L14" s="4" t="str">
        <f t="shared" si="0"/>
        <v>人民币</v>
      </c>
      <c r="M14" s="4" t="str">
        <f>"1361005476"</f>
        <v>1361005476</v>
      </c>
      <c r="N14" s="4" t="str">
        <f t="shared" si="3"/>
        <v>A368402599</v>
      </c>
      <c r="O14" s="4" t="str">
        <f t="shared" si="1"/>
        <v>300100052893</v>
      </c>
    </row>
    <row r="15" spans="1:15">
      <c r="A15" s="4" t="str">
        <f t="shared" ref="A15:A17" si="10">"20161108"</f>
        <v>20161108</v>
      </c>
      <c r="B15" s="4" t="str">
        <f t="shared" ref="B15:B17" si="11">"20161108"</f>
        <v>20161108</v>
      </c>
      <c r="C15" s="4" t="str">
        <f t="shared" si="9"/>
        <v>证券买入</v>
      </c>
      <c r="D15" s="4" t="str">
        <f t="shared" si="7"/>
        <v>600886</v>
      </c>
      <c r="E15" s="4" t="str">
        <f t="shared" si="8"/>
        <v>国投电力</v>
      </c>
      <c r="F15" s="4">
        <v>6.55</v>
      </c>
      <c r="G15" s="4">
        <v>2500</v>
      </c>
      <c r="H15" s="4">
        <v>16375</v>
      </c>
      <c r="I15" s="4">
        <v>-16380.41</v>
      </c>
      <c r="J15" s="4">
        <v>76359.46</v>
      </c>
      <c r="K15" s="4">
        <v>4500</v>
      </c>
      <c r="L15" s="4" t="str">
        <f t="shared" si="0"/>
        <v>人民币</v>
      </c>
      <c r="M15" s="4" t="str">
        <f>"1361005374"</f>
        <v>1361005374</v>
      </c>
      <c r="N15" s="4" t="str">
        <f t="shared" si="3"/>
        <v>A368402599</v>
      </c>
      <c r="O15" s="4" t="str">
        <f t="shared" si="1"/>
        <v>300100052893</v>
      </c>
    </row>
    <row r="16" spans="1:15">
      <c r="A16" s="4" t="str">
        <f t="shared" si="10"/>
        <v>20161108</v>
      </c>
      <c r="B16" s="4" t="str">
        <f t="shared" si="11"/>
        <v>20161108</v>
      </c>
      <c r="C16" s="4" t="str">
        <f>"证券卖出"</f>
        <v>证券卖出</v>
      </c>
      <c r="D16" s="4" t="str">
        <f t="shared" si="7"/>
        <v>600886</v>
      </c>
      <c r="E16" s="4" t="str">
        <f t="shared" si="8"/>
        <v>国投电力</v>
      </c>
      <c r="F16" s="4">
        <v>6.58</v>
      </c>
      <c r="G16" s="4">
        <v>2000</v>
      </c>
      <c r="H16" s="4">
        <v>13160</v>
      </c>
      <c r="I16" s="4">
        <v>13141.58</v>
      </c>
      <c r="J16" s="4">
        <v>89501.04</v>
      </c>
      <c r="K16" s="4">
        <v>2500</v>
      </c>
      <c r="L16" s="4" t="str">
        <f t="shared" si="0"/>
        <v>人民币</v>
      </c>
      <c r="M16" s="4" t="str">
        <f>"1361006940"</f>
        <v>1361006940</v>
      </c>
      <c r="N16" s="4" t="str">
        <f t="shared" si="3"/>
        <v>A368402599</v>
      </c>
      <c r="O16" s="4" t="str">
        <f t="shared" si="1"/>
        <v>300100052893</v>
      </c>
    </row>
    <row r="17" spans="1:15">
      <c r="A17" s="4" t="str">
        <f t="shared" si="10"/>
        <v>20161108</v>
      </c>
      <c r="B17" s="4" t="str">
        <f t="shared" si="11"/>
        <v>20161108</v>
      </c>
      <c r="C17" s="4" t="str">
        <f t="shared" si="9"/>
        <v>证券买入</v>
      </c>
      <c r="D17" s="4" t="str">
        <f t="shared" si="7"/>
        <v>600886</v>
      </c>
      <c r="E17" s="4" t="str">
        <f t="shared" si="8"/>
        <v>国投电力</v>
      </c>
      <c r="F17" s="4">
        <v>6.55</v>
      </c>
      <c r="G17" s="4">
        <v>2500</v>
      </c>
      <c r="H17" s="4">
        <v>16375</v>
      </c>
      <c r="I17" s="4">
        <v>-16380.41</v>
      </c>
      <c r="J17" s="4">
        <v>73120.63</v>
      </c>
      <c r="K17" s="4">
        <v>5000</v>
      </c>
      <c r="L17" s="4" t="str">
        <f t="shared" si="0"/>
        <v>人民币</v>
      </c>
      <c r="M17" s="4" t="str">
        <f>"1361009295"</f>
        <v>1361009295</v>
      </c>
      <c r="N17" s="4" t="str">
        <f t="shared" si="3"/>
        <v>A368402599</v>
      </c>
      <c r="O17" s="4" t="str">
        <f t="shared" si="1"/>
        <v>300100052893</v>
      </c>
    </row>
    <row r="18" spans="1:15">
      <c r="A18" s="4" t="str">
        <f>"20161109"</f>
        <v>20161109</v>
      </c>
      <c r="B18" s="4" t="str">
        <f>"20161109"</f>
        <v>20161109</v>
      </c>
      <c r="C18" s="4" t="str">
        <f t="shared" si="9"/>
        <v>证券买入</v>
      </c>
      <c r="D18" s="4" t="str">
        <f>"510300"</f>
        <v>510300</v>
      </c>
      <c r="E18" s="4" t="str">
        <f>"300ETF"</f>
        <v>300ETF</v>
      </c>
      <c r="F18" s="4">
        <v>3.399</v>
      </c>
      <c r="G18" s="4">
        <v>2500</v>
      </c>
      <c r="H18" s="4">
        <v>8497.5</v>
      </c>
      <c r="I18" s="4">
        <v>-8502.5</v>
      </c>
      <c r="J18" s="4">
        <v>64618.13</v>
      </c>
      <c r="K18" s="4">
        <v>2500</v>
      </c>
      <c r="L18" s="4" t="str">
        <f t="shared" si="0"/>
        <v>人民币</v>
      </c>
      <c r="M18" s="4" t="str">
        <f>"1361004539"</f>
        <v>1361004539</v>
      </c>
      <c r="N18" s="4" t="str">
        <f t="shared" si="3"/>
        <v>A368402599</v>
      </c>
      <c r="O18" s="4" t="str">
        <f t="shared" si="1"/>
        <v>300100052893</v>
      </c>
    </row>
    <row r="19" spans="1:15">
      <c r="A19" s="4" t="str">
        <f>"20161109"</f>
        <v>20161109</v>
      </c>
      <c r="B19" s="4" t="str">
        <f>"20161109"</f>
        <v>20161109</v>
      </c>
      <c r="C19" s="4" t="str">
        <f t="shared" si="9"/>
        <v>证券买入</v>
      </c>
      <c r="D19" s="4" t="str">
        <f>"600886"</f>
        <v>600886</v>
      </c>
      <c r="E19" s="4" t="str">
        <f>"国投电力"</f>
        <v>国投电力</v>
      </c>
      <c r="F19" s="4">
        <v>6.47</v>
      </c>
      <c r="G19" s="4">
        <v>2500</v>
      </c>
      <c r="H19" s="4">
        <v>16175</v>
      </c>
      <c r="I19" s="4">
        <v>-16180.33</v>
      </c>
      <c r="J19" s="4">
        <v>48437.8</v>
      </c>
      <c r="K19" s="4">
        <v>7500</v>
      </c>
      <c r="L19" s="4" t="str">
        <f t="shared" si="0"/>
        <v>人民币</v>
      </c>
      <c r="M19" s="4" t="str">
        <f>"1361007358"</f>
        <v>1361007358</v>
      </c>
      <c r="N19" s="4" t="str">
        <f t="shared" si="3"/>
        <v>A368402599</v>
      </c>
      <c r="O19" s="4" t="str">
        <f t="shared" si="1"/>
        <v>300100052893</v>
      </c>
    </row>
    <row r="20" spans="1:15">
      <c r="A20" s="4" t="str">
        <f t="shared" ref="A20:A24" si="12">"20161110"</f>
        <v>20161110</v>
      </c>
      <c r="B20" s="4" t="str">
        <f t="shared" ref="B20:B24" si="13">"20161110"</f>
        <v>20161110</v>
      </c>
      <c r="C20" s="4" t="str">
        <f>"银行转证券"</f>
        <v>银行转证券</v>
      </c>
      <c r="F20" s="4">
        <v>0</v>
      </c>
      <c r="G20" s="4">
        <v>0</v>
      </c>
      <c r="H20" s="4">
        <v>0</v>
      </c>
      <c r="I20" s="4">
        <v>39000</v>
      </c>
      <c r="J20" s="4">
        <v>87437.8</v>
      </c>
      <c r="K20" s="4">
        <v>0</v>
      </c>
      <c r="L20" s="4" t="str">
        <f t="shared" si="0"/>
        <v>人民币</v>
      </c>
      <c r="O20" s="4" t="str">
        <f t="shared" si="1"/>
        <v>300100052893</v>
      </c>
    </row>
    <row r="21" spans="1:15">
      <c r="A21" s="4" t="str">
        <f t="shared" si="12"/>
        <v>20161110</v>
      </c>
      <c r="B21" s="4" t="str">
        <f t="shared" si="13"/>
        <v>20161110</v>
      </c>
      <c r="C21" s="4" t="str">
        <f>"证券买入"</f>
        <v>证券买入</v>
      </c>
      <c r="D21" s="4" t="str">
        <f t="shared" ref="D21:D26" si="14">"150197"</f>
        <v>150197</v>
      </c>
      <c r="E21" s="4" t="str">
        <f t="shared" ref="E21:E26" si="15">"有色B"</f>
        <v>有色B</v>
      </c>
      <c r="F21" s="4">
        <v>1.287</v>
      </c>
      <c r="G21" s="4">
        <v>37400</v>
      </c>
      <c r="H21" s="4">
        <v>48133.8</v>
      </c>
      <c r="I21" s="4">
        <v>-48148.72</v>
      </c>
      <c r="J21" s="4">
        <v>39289.08</v>
      </c>
      <c r="K21" s="4">
        <v>37400</v>
      </c>
      <c r="L21" s="4" t="str">
        <f t="shared" si="0"/>
        <v>人民币</v>
      </c>
      <c r="M21" s="4" t="str">
        <f>"T4000670"</f>
        <v>T4000670</v>
      </c>
      <c r="N21" s="4" t="str">
        <f t="shared" ref="N21:N26" si="16">"0149593788"</f>
        <v>0149593788</v>
      </c>
      <c r="O21" s="4" t="str">
        <f t="shared" si="1"/>
        <v>300100052893</v>
      </c>
    </row>
    <row r="22" spans="1:15">
      <c r="A22" s="4" t="str">
        <f t="shared" si="12"/>
        <v>20161110</v>
      </c>
      <c r="B22" s="4" t="str">
        <f t="shared" si="13"/>
        <v>20161110</v>
      </c>
      <c r="C22" s="4" t="str">
        <f>"证券买入"</f>
        <v>证券买入</v>
      </c>
      <c r="D22" s="4" t="str">
        <f t="shared" si="14"/>
        <v>150197</v>
      </c>
      <c r="E22" s="4" t="str">
        <f t="shared" si="15"/>
        <v>有色B</v>
      </c>
      <c r="F22" s="4">
        <v>1.245</v>
      </c>
      <c r="G22" s="4">
        <v>31200</v>
      </c>
      <c r="H22" s="4">
        <v>38844</v>
      </c>
      <c r="I22" s="4">
        <v>-38856.04</v>
      </c>
      <c r="J22" s="4">
        <v>433.04</v>
      </c>
      <c r="K22" s="4">
        <v>68600</v>
      </c>
      <c r="L22" s="4" t="str">
        <f t="shared" si="0"/>
        <v>人民币</v>
      </c>
      <c r="M22" s="4" t="str">
        <f>"T4001896"</f>
        <v>T4001896</v>
      </c>
      <c r="N22" s="4" t="str">
        <f t="shared" si="16"/>
        <v>0149593788</v>
      </c>
      <c r="O22" s="4" t="str">
        <f t="shared" si="1"/>
        <v>300100052893</v>
      </c>
    </row>
    <row r="23" spans="1:15">
      <c r="A23" s="4" t="str">
        <f t="shared" si="12"/>
        <v>20161110</v>
      </c>
      <c r="B23" s="4" t="str">
        <f t="shared" si="13"/>
        <v>20161110</v>
      </c>
      <c r="C23" s="4" t="str">
        <f t="shared" ref="C23:C26" si="17">"证券卖出"</f>
        <v>证券卖出</v>
      </c>
      <c r="D23" s="4" t="str">
        <f>"510300"</f>
        <v>510300</v>
      </c>
      <c r="E23" s="4" t="str">
        <f>"300ETF"</f>
        <v>300ETF</v>
      </c>
      <c r="F23" s="4">
        <v>3.45</v>
      </c>
      <c r="G23" s="4">
        <v>2500</v>
      </c>
      <c r="H23" s="4">
        <v>8625</v>
      </c>
      <c r="I23" s="4">
        <v>8620</v>
      </c>
      <c r="J23" s="4">
        <v>9053.04</v>
      </c>
      <c r="K23" s="4">
        <v>0</v>
      </c>
      <c r="L23" s="4" t="str">
        <f t="shared" si="0"/>
        <v>人民币</v>
      </c>
      <c r="M23" s="4" t="str">
        <f>"1361002258"</f>
        <v>1361002258</v>
      </c>
      <c r="N23" s="4" t="str">
        <f t="shared" ref="N23:N27" si="18">"A368402599"</f>
        <v>A368402599</v>
      </c>
      <c r="O23" s="4" t="str">
        <f t="shared" si="1"/>
        <v>300100052893</v>
      </c>
    </row>
    <row r="24" spans="1:15">
      <c r="A24" s="4" t="str">
        <f t="shared" si="12"/>
        <v>20161110</v>
      </c>
      <c r="B24" s="4" t="str">
        <f t="shared" si="13"/>
        <v>20161110</v>
      </c>
      <c r="C24" s="4" t="str">
        <f t="shared" si="17"/>
        <v>证券卖出</v>
      </c>
      <c r="D24" s="4" t="str">
        <f>"600886"</f>
        <v>600886</v>
      </c>
      <c r="E24" s="4" t="str">
        <f>"国投电力"</f>
        <v>国投电力</v>
      </c>
      <c r="F24" s="4">
        <v>6.56</v>
      </c>
      <c r="G24" s="4">
        <v>2500</v>
      </c>
      <c r="H24" s="4">
        <v>16400</v>
      </c>
      <c r="I24" s="4">
        <v>16378.19</v>
      </c>
      <c r="J24" s="4">
        <v>25431.23</v>
      </c>
      <c r="K24" s="4">
        <v>5000</v>
      </c>
      <c r="L24" s="4" t="str">
        <f t="shared" si="0"/>
        <v>人民币</v>
      </c>
      <c r="M24" s="4" t="str">
        <f>"1361002485"</f>
        <v>1361002485</v>
      </c>
      <c r="N24" s="4" t="str">
        <f t="shared" si="18"/>
        <v>A368402599</v>
      </c>
      <c r="O24" s="4" t="str">
        <f t="shared" si="1"/>
        <v>300100052893</v>
      </c>
    </row>
    <row r="25" spans="1:15">
      <c r="A25" s="4" t="str">
        <f t="shared" ref="A25:A27" si="19">"20161114"</f>
        <v>20161114</v>
      </c>
      <c r="B25" s="4" t="str">
        <f t="shared" ref="B25:B27" si="20">"20161114"</f>
        <v>20161114</v>
      </c>
      <c r="C25" s="4" t="str">
        <f t="shared" si="17"/>
        <v>证券卖出</v>
      </c>
      <c r="D25" s="4" t="str">
        <f t="shared" si="14"/>
        <v>150197</v>
      </c>
      <c r="E25" s="4" t="str">
        <f t="shared" si="15"/>
        <v>有色B</v>
      </c>
      <c r="F25" s="4">
        <v>1.382</v>
      </c>
      <c r="G25" s="4">
        <v>8600</v>
      </c>
      <c r="H25" s="4">
        <v>11885.2</v>
      </c>
      <c r="I25" s="4">
        <v>11880.2</v>
      </c>
      <c r="J25" s="4">
        <v>37311.43</v>
      </c>
      <c r="K25" s="4">
        <v>60000</v>
      </c>
      <c r="L25" s="4" t="str">
        <f t="shared" si="0"/>
        <v>人民币</v>
      </c>
      <c r="M25" s="4" t="str">
        <f>"T4006667"</f>
        <v>T4006667</v>
      </c>
      <c r="N25" s="4" t="str">
        <f t="shared" si="16"/>
        <v>0149593788</v>
      </c>
      <c r="O25" s="4" t="str">
        <f t="shared" si="1"/>
        <v>300100052893</v>
      </c>
    </row>
    <row r="26" spans="1:15">
      <c r="A26" s="4" t="str">
        <f t="shared" si="19"/>
        <v>20161114</v>
      </c>
      <c r="B26" s="4" t="str">
        <f t="shared" si="20"/>
        <v>20161114</v>
      </c>
      <c r="C26" s="4" t="str">
        <f t="shared" si="17"/>
        <v>证券卖出</v>
      </c>
      <c r="D26" s="4" t="str">
        <f t="shared" si="14"/>
        <v>150197</v>
      </c>
      <c r="E26" s="4" t="str">
        <f t="shared" si="15"/>
        <v>有色B</v>
      </c>
      <c r="F26" s="4">
        <v>1.354</v>
      </c>
      <c r="G26" s="4">
        <v>60000</v>
      </c>
      <c r="H26" s="4">
        <v>81240</v>
      </c>
      <c r="I26" s="4">
        <v>81214.82</v>
      </c>
      <c r="J26" s="4">
        <v>118526.25</v>
      </c>
      <c r="K26" s="4">
        <v>0</v>
      </c>
      <c r="L26" s="4" t="str">
        <f t="shared" si="0"/>
        <v>人民币</v>
      </c>
      <c r="M26" s="4" t="str">
        <f>"T4006861"</f>
        <v>T4006861</v>
      </c>
      <c r="N26" s="4" t="str">
        <f t="shared" si="16"/>
        <v>0149593788</v>
      </c>
      <c r="O26" s="4" t="str">
        <f t="shared" si="1"/>
        <v>300100052893</v>
      </c>
    </row>
    <row r="27" spans="1:15">
      <c r="A27" s="4" t="str">
        <f t="shared" si="19"/>
        <v>20161114</v>
      </c>
      <c r="B27" s="4" t="str">
        <f t="shared" si="20"/>
        <v>20161114</v>
      </c>
      <c r="C27" s="4" t="str">
        <f>"证券买入"</f>
        <v>证券买入</v>
      </c>
      <c r="D27" s="4" t="str">
        <f>"511990"</f>
        <v>511990</v>
      </c>
      <c r="E27" s="4" t="str">
        <f>"华宝添益"</f>
        <v>华宝添益</v>
      </c>
      <c r="F27" s="4">
        <v>99.98</v>
      </c>
      <c r="G27" s="4">
        <v>1100</v>
      </c>
      <c r="H27" s="4">
        <v>109978</v>
      </c>
      <c r="I27" s="4">
        <v>-109978</v>
      </c>
      <c r="J27" s="4">
        <v>8548.25</v>
      </c>
      <c r="K27" s="4">
        <v>1100</v>
      </c>
      <c r="L27" s="4" t="str">
        <f t="shared" si="0"/>
        <v>人民币</v>
      </c>
      <c r="M27" s="4" t="str">
        <f>"1361011008"</f>
        <v>1361011008</v>
      </c>
      <c r="N27" s="4" t="str">
        <f t="shared" si="18"/>
        <v>A368402599</v>
      </c>
      <c r="O27" s="4" t="str">
        <f t="shared" si="1"/>
        <v>300100052893</v>
      </c>
    </row>
    <row r="28" spans="1:15">
      <c r="A28" s="4" t="str">
        <f t="shared" ref="A28:A30" si="21">"20161115"</f>
        <v>20161115</v>
      </c>
      <c r="B28" s="4" t="str">
        <f t="shared" ref="B28:B30" si="22">"20161115"</f>
        <v>20161115</v>
      </c>
      <c r="C28" s="4" t="str">
        <f>"银行转证券"</f>
        <v>银行转证券</v>
      </c>
      <c r="F28" s="4">
        <v>0</v>
      </c>
      <c r="G28" s="4">
        <v>0</v>
      </c>
      <c r="H28" s="4">
        <v>0</v>
      </c>
      <c r="I28" s="4">
        <v>9000</v>
      </c>
      <c r="J28" s="4">
        <v>17548.25</v>
      </c>
      <c r="K28" s="4">
        <v>0</v>
      </c>
      <c r="L28" s="4" t="str">
        <f t="shared" si="0"/>
        <v>人民币</v>
      </c>
      <c r="O28" s="4" t="str">
        <f t="shared" si="1"/>
        <v>300100052893</v>
      </c>
    </row>
    <row r="29" spans="1:15">
      <c r="A29" s="4" t="str">
        <f t="shared" si="21"/>
        <v>20161115</v>
      </c>
      <c r="B29" s="4" t="str">
        <f t="shared" si="22"/>
        <v>20161115</v>
      </c>
      <c r="C29" s="4" t="str">
        <f>"基金申购拨出"</f>
        <v>基金申购拨出</v>
      </c>
      <c r="D29" s="4" t="str">
        <f>"AA0007"</f>
        <v>AA0007</v>
      </c>
      <c r="E29" s="4" t="str">
        <f>"银河水星1号集合"</f>
        <v>银河水星1号集合</v>
      </c>
      <c r="F29" s="4">
        <v>0</v>
      </c>
      <c r="G29" s="4">
        <v>0</v>
      </c>
      <c r="H29" s="4">
        <v>0</v>
      </c>
      <c r="I29" s="4">
        <v>-50952.76</v>
      </c>
      <c r="J29" s="4">
        <v>-33404.51</v>
      </c>
      <c r="K29" s="4">
        <v>0</v>
      </c>
      <c r="L29" s="4" t="str">
        <f t="shared" si="0"/>
        <v>人民币</v>
      </c>
      <c r="N29" s="4" t="str">
        <f>"980149593788"</f>
        <v>980149593788</v>
      </c>
      <c r="O29" s="4" t="str">
        <f t="shared" si="1"/>
        <v>300100052893</v>
      </c>
    </row>
    <row r="30" spans="1:15">
      <c r="A30" s="4" t="str">
        <f t="shared" si="21"/>
        <v>20161115</v>
      </c>
      <c r="B30" s="4" t="str">
        <f t="shared" si="22"/>
        <v>20161115</v>
      </c>
      <c r="C30" s="4" t="str">
        <f>"证券卖出"</f>
        <v>证券卖出</v>
      </c>
      <c r="D30" s="4" t="str">
        <f>"600886"</f>
        <v>600886</v>
      </c>
      <c r="E30" s="4" t="str">
        <f>"国投电力"</f>
        <v>国投电力</v>
      </c>
      <c r="F30" s="4">
        <v>6.69</v>
      </c>
      <c r="G30" s="4">
        <v>5000</v>
      </c>
      <c r="H30" s="4">
        <v>33450</v>
      </c>
      <c r="I30" s="4">
        <v>33405.51</v>
      </c>
      <c r="J30" s="4">
        <v>1</v>
      </c>
      <c r="K30" s="4">
        <v>0</v>
      </c>
      <c r="L30" s="4" t="str">
        <f t="shared" si="0"/>
        <v>人民币</v>
      </c>
      <c r="M30" s="4" t="str">
        <f>"1361000331"</f>
        <v>1361000331</v>
      </c>
      <c r="N30" s="4" t="str">
        <f t="shared" ref="N30:N34" si="23">"A368402599"</f>
        <v>A368402599</v>
      </c>
      <c r="O30" s="4" t="str">
        <f t="shared" si="1"/>
        <v>300100052893</v>
      </c>
    </row>
    <row r="31" spans="1:15">
      <c r="A31" s="4" t="str">
        <f t="shared" ref="A31:A34" si="24">"20161116"</f>
        <v>20161116</v>
      </c>
      <c r="B31" s="4" t="str">
        <f>"20161116"</f>
        <v>20161116</v>
      </c>
      <c r="C31" s="4" t="str">
        <f>"基金赎回拨入"</f>
        <v>基金赎回拨入</v>
      </c>
      <c r="D31" s="4" t="str">
        <f>"AA0007"</f>
        <v>AA0007</v>
      </c>
      <c r="E31" s="4" t="str">
        <f>"银河水星1号集合"</f>
        <v>银河水星1号集合</v>
      </c>
      <c r="F31" s="4">
        <v>0</v>
      </c>
      <c r="G31" s="4">
        <v>12615</v>
      </c>
      <c r="H31" s="4">
        <v>0</v>
      </c>
      <c r="I31" s="4">
        <v>12615</v>
      </c>
      <c r="J31" s="4">
        <v>12616</v>
      </c>
      <c r="K31" s="4">
        <v>0</v>
      </c>
      <c r="L31" s="4" t="str">
        <f t="shared" si="0"/>
        <v>人民币</v>
      </c>
      <c r="N31" s="4" t="str">
        <f>"980149593788"</f>
        <v>980149593788</v>
      </c>
      <c r="O31" s="4" t="str">
        <f t="shared" si="1"/>
        <v>300100052893</v>
      </c>
    </row>
    <row r="32" spans="1:15">
      <c r="A32" s="4" t="str">
        <f t="shared" si="24"/>
        <v>20161116</v>
      </c>
      <c r="B32" s="4" t="str">
        <f>"20161115"</f>
        <v>20161115</v>
      </c>
      <c r="C32" s="4" t="str">
        <f>"ETF 基金赎回"</f>
        <v>ETF 基金赎回</v>
      </c>
      <c r="D32" s="4" t="str">
        <f>"511991"</f>
        <v>511991</v>
      </c>
      <c r="E32" s="4" t="str">
        <f>"添益申赎"</f>
        <v>添益申赎</v>
      </c>
      <c r="F32" s="4">
        <v>0</v>
      </c>
      <c r="G32" s="4">
        <v>1100</v>
      </c>
      <c r="H32" s="4">
        <v>0</v>
      </c>
      <c r="I32" s="4">
        <v>0</v>
      </c>
      <c r="J32" s="4">
        <v>12616</v>
      </c>
      <c r="K32" s="4">
        <v>0</v>
      </c>
      <c r="L32" s="4" t="str">
        <f t="shared" si="0"/>
        <v>人民币</v>
      </c>
      <c r="M32" s="4" t="str">
        <f>"1361001020"</f>
        <v>1361001020</v>
      </c>
      <c r="N32" s="4" t="str">
        <f t="shared" si="23"/>
        <v>A368402599</v>
      </c>
      <c r="O32" s="4" t="str">
        <f t="shared" si="1"/>
        <v>300100052893</v>
      </c>
    </row>
    <row r="33" spans="1:15">
      <c r="A33" s="4" t="str">
        <f t="shared" si="24"/>
        <v>20161116</v>
      </c>
      <c r="B33" s="4" t="str">
        <f>"20161116"</f>
        <v>20161116</v>
      </c>
      <c r="C33" s="4" t="str">
        <f>"证券买入"</f>
        <v>证券买入</v>
      </c>
      <c r="D33" s="4" t="str">
        <f>"150197"</f>
        <v>150197</v>
      </c>
      <c r="E33" s="4" t="str">
        <f>"有色B"</f>
        <v>有色B</v>
      </c>
      <c r="F33" s="4">
        <v>1.261</v>
      </c>
      <c r="G33" s="4">
        <v>10000</v>
      </c>
      <c r="H33" s="4">
        <v>12610</v>
      </c>
      <c r="I33" s="4">
        <v>-12615</v>
      </c>
      <c r="J33" s="4">
        <v>1</v>
      </c>
      <c r="K33" s="4">
        <v>10000</v>
      </c>
      <c r="L33" s="4" t="str">
        <f t="shared" si="0"/>
        <v>人民币</v>
      </c>
      <c r="M33" s="4" t="str">
        <f>"T4008620"</f>
        <v>T4008620</v>
      </c>
      <c r="N33" s="4" t="str">
        <f t="shared" ref="N33:N38" si="25">"0149593788"</f>
        <v>0149593788</v>
      </c>
      <c r="O33" s="4" t="str">
        <f t="shared" si="1"/>
        <v>300100052893</v>
      </c>
    </row>
    <row r="34" spans="1:15">
      <c r="A34" s="4" t="str">
        <f t="shared" si="24"/>
        <v>20161116</v>
      </c>
      <c r="B34" s="4" t="str">
        <f>"20161115"</f>
        <v>20161115</v>
      </c>
      <c r="C34" s="4" t="str">
        <f>"ETF 申购退款"</f>
        <v>ETF 申购退款</v>
      </c>
      <c r="D34" s="4" t="str">
        <f>"511990"</f>
        <v>511990</v>
      </c>
      <c r="E34" s="4" t="str">
        <f>"华宝添益"</f>
        <v>华宝添益</v>
      </c>
      <c r="F34" s="4">
        <v>0</v>
      </c>
      <c r="G34" s="4">
        <v>0</v>
      </c>
      <c r="H34" s="4">
        <v>110015.32</v>
      </c>
      <c r="I34" s="4">
        <v>110015.32</v>
      </c>
      <c r="J34" s="4">
        <v>110016.32</v>
      </c>
      <c r="K34" s="4">
        <v>0</v>
      </c>
      <c r="L34" s="4" t="str">
        <f t="shared" si="0"/>
        <v>人民币</v>
      </c>
      <c r="N34" s="4" t="str">
        <f t="shared" si="23"/>
        <v>A368402599</v>
      </c>
      <c r="O34" s="4" t="str">
        <f t="shared" si="1"/>
        <v>300100052893</v>
      </c>
    </row>
    <row r="35" spans="1:15">
      <c r="A35" s="4" t="str">
        <f t="shared" ref="A35:A38" si="26">"20161117"</f>
        <v>20161117</v>
      </c>
      <c r="B35" s="4" t="str">
        <f t="shared" ref="B35:B38" si="27">"20161117"</f>
        <v>20161117</v>
      </c>
      <c r="C35" s="4" t="str">
        <f>"证券转银行"</f>
        <v>证券转银行</v>
      </c>
      <c r="F35" s="4">
        <v>0</v>
      </c>
      <c r="G35" s="4">
        <v>0</v>
      </c>
      <c r="H35" s="4">
        <v>0</v>
      </c>
      <c r="I35" s="4">
        <v>-70000</v>
      </c>
      <c r="J35" s="4">
        <v>40016.32</v>
      </c>
      <c r="K35" s="4">
        <v>0</v>
      </c>
      <c r="L35" s="4" t="str">
        <f t="shared" si="0"/>
        <v>人民币</v>
      </c>
      <c r="O35" s="4" t="str">
        <f t="shared" si="1"/>
        <v>300100052893</v>
      </c>
    </row>
    <row r="36" spans="1:15">
      <c r="A36" s="4" t="str">
        <f t="shared" si="26"/>
        <v>20161117</v>
      </c>
      <c r="B36" s="4" t="str">
        <f t="shared" si="27"/>
        <v>20161117</v>
      </c>
      <c r="C36" s="4" t="str">
        <f>"基金申购拨出"</f>
        <v>基金申购拨出</v>
      </c>
      <c r="D36" s="4" t="str">
        <f>"AA0007"</f>
        <v>AA0007</v>
      </c>
      <c r="E36" s="4" t="str">
        <f>"银河水星1号集合"</f>
        <v>银河水星1号集合</v>
      </c>
      <c r="F36" s="4">
        <v>0</v>
      </c>
      <c r="G36" s="4">
        <v>0</v>
      </c>
      <c r="H36" s="4">
        <v>0</v>
      </c>
      <c r="I36" s="4">
        <v>-43030.32</v>
      </c>
      <c r="J36" s="4">
        <v>-3014</v>
      </c>
      <c r="K36" s="4">
        <v>0</v>
      </c>
      <c r="L36" s="4" t="str">
        <f t="shared" si="0"/>
        <v>人民币</v>
      </c>
      <c r="N36" s="4" t="str">
        <f>"980149593788"</f>
        <v>980149593788</v>
      </c>
      <c r="O36" s="4" t="str">
        <f t="shared" si="1"/>
        <v>300100052893</v>
      </c>
    </row>
    <row r="37" spans="1:15">
      <c r="A37" s="4" t="str">
        <f t="shared" si="26"/>
        <v>20161117</v>
      </c>
      <c r="B37" s="4" t="str">
        <f t="shared" si="27"/>
        <v>20161117</v>
      </c>
      <c r="C37" s="4" t="str">
        <f>"证券卖出"</f>
        <v>证券卖出</v>
      </c>
      <c r="D37" s="4" t="str">
        <f>"150197"</f>
        <v>150197</v>
      </c>
      <c r="E37" s="4" t="str">
        <f>"有色B"</f>
        <v>有色B</v>
      </c>
      <c r="F37" s="4">
        <v>1.249</v>
      </c>
      <c r="G37" s="4">
        <v>10000</v>
      </c>
      <c r="H37" s="4">
        <v>12490</v>
      </c>
      <c r="I37" s="4">
        <v>12485</v>
      </c>
      <c r="J37" s="4">
        <v>9471</v>
      </c>
      <c r="K37" s="4">
        <v>0</v>
      </c>
      <c r="L37" s="4" t="str">
        <f t="shared" si="0"/>
        <v>人民币</v>
      </c>
      <c r="M37" s="4" t="str">
        <f>"T4001615"</f>
        <v>T4001615</v>
      </c>
      <c r="N37" s="4" t="str">
        <f t="shared" si="25"/>
        <v>0149593788</v>
      </c>
      <c r="O37" s="4" t="str">
        <f t="shared" si="1"/>
        <v>300100052893</v>
      </c>
    </row>
    <row r="38" spans="1:15">
      <c r="A38" s="4" t="str">
        <f t="shared" si="26"/>
        <v>20161117</v>
      </c>
      <c r="B38" s="4" t="str">
        <f t="shared" si="27"/>
        <v>20161117</v>
      </c>
      <c r="C38" s="4" t="str">
        <f t="shared" ref="C38:C41" si="28">"证券买入"</f>
        <v>证券买入</v>
      </c>
      <c r="D38" s="4" t="str">
        <f>"002543"</f>
        <v>002543</v>
      </c>
      <c r="E38" s="4" t="str">
        <f>"万和电气"</f>
        <v>万和电气</v>
      </c>
      <c r="F38" s="4">
        <v>18.93</v>
      </c>
      <c r="G38" s="4">
        <v>500</v>
      </c>
      <c r="H38" s="4">
        <v>9465</v>
      </c>
      <c r="I38" s="4">
        <v>-9470</v>
      </c>
      <c r="J38" s="4">
        <v>1</v>
      </c>
      <c r="K38" s="4">
        <v>500</v>
      </c>
      <c r="L38" s="4" t="str">
        <f t="shared" si="0"/>
        <v>人民币</v>
      </c>
      <c r="M38" s="4" t="str">
        <f>"T4012532"</f>
        <v>T4012532</v>
      </c>
      <c r="N38" s="4" t="str">
        <f t="shared" si="25"/>
        <v>0149593788</v>
      </c>
      <c r="O38" s="4" t="str">
        <f t="shared" si="1"/>
        <v>300100052893</v>
      </c>
    </row>
    <row r="39" spans="1:15">
      <c r="A39" s="4" t="str">
        <f t="shared" ref="A39:A43" si="29">"20161118"</f>
        <v>20161118</v>
      </c>
      <c r="B39" s="4" t="str">
        <f t="shared" ref="B39:B43" si="30">"20161118"</f>
        <v>20161118</v>
      </c>
      <c r="C39" s="4" t="str">
        <f>"基金赎回拨入"</f>
        <v>基金赎回拨入</v>
      </c>
      <c r="D39" s="4" t="str">
        <f>"AA0007"</f>
        <v>AA0007</v>
      </c>
      <c r="E39" s="4" t="str">
        <f>"银河水星1号集合"</f>
        <v>银河水星1号集合</v>
      </c>
      <c r="F39" s="4">
        <v>0</v>
      </c>
      <c r="G39" s="4">
        <v>38312</v>
      </c>
      <c r="H39" s="4">
        <v>0</v>
      </c>
      <c r="I39" s="4">
        <v>38312.04</v>
      </c>
      <c r="J39" s="4">
        <v>38313.04</v>
      </c>
      <c r="K39" s="4">
        <v>0</v>
      </c>
      <c r="L39" s="4" t="str">
        <f t="shared" si="0"/>
        <v>人民币</v>
      </c>
      <c r="N39" s="4" t="str">
        <f>"980149593788"</f>
        <v>980149593788</v>
      </c>
      <c r="O39" s="4" t="str">
        <f t="shared" si="1"/>
        <v>300100052893</v>
      </c>
    </row>
    <row r="40" spans="1:15">
      <c r="A40" s="4" t="str">
        <f t="shared" si="29"/>
        <v>20161118</v>
      </c>
      <c r="B40" s="4" t="str">
        <f t="shared" si="30"/>
        <v>20161118</v>
      </c>
      <c r="C40" s="4" t="str">
        <f t="shared" si="28"/>
        <v>证券买入</v>
      </c>
      <c r="D40" s="4" t="str">
        <f>"002183"</f>
        <v>002183</v>
      </c>
      <c r="E40" s="4" t="str">
        <f>"怡 亚 通"</f>
        <v>怡 亚 通</v>
      </c>
      <c r="F40" s="4">
        <v>12.7</v>
      </c>
      <c r="G40" s="4">
        <v>2000</v>
      </c>
      <c r="H40" s="4">
        <v>25400</v>
      </c>
      <c r="I40" s="4">
        <v>-25407.87</v>
      </c>
      <c r="J40" s="4">
        <v>12905.17</v>
      </c>
      <c r="K40" s="4">
        <v>6000</v>
      </c>
      <c r="L40" s="4" t="str">
        <f t="shared" si="0"/>
        <v>人民币</v>
      </c>
      <c r="M40" s="4" t="str">
        <f>"T4005209"</f>
        <v>T4005209</v>
      </c>
      <c r="N40" s="4" t="str">
        <f t="shared" ref="N40:N42" si="31">"0149593788"</f>
        <v>0149593788</v>
      </c>
      <c r="O40" s="4" t="str">
        <f t="shared" si="1"/>
        <v>300100052893</v>
      </c>
    </row>
    <row r="41" spans="1:15">
      <c r="A41" s="4" t="str">
        <f t="shared" si="29"/>
        <v>20161118</v>
      </c>
      <c r="B41" s="4" t="str">
        <f t="shared" si="30"/>
        <v>20161118</v>
      </c>
      <c r="C41" s="4" t="str">
        <f t="shared" si="28"/>
        <v>证券买入</v>
      </c>
      <c r="D41" s="4" t="str">
        <f>"000601"</f>
        <v>000601</v>
      </c>
      <c r="E41" s="4" t="str">
        <f>"韶能股份"</f>
        <v>韶能股份</v>
      </c>
      <c r="F41" s="4">
        <v>10.38</v>
      </c>
      <c r="G41" s="4">
        <v>1200</v>
      </c>
      <c r="H41" s="4">
        <v>12456</v>
      </c>
      <c r="I41" s="4">
        <v>-12461</v>
      </c>
      <c r="J41" s="4">
        <v>444.17</v>
      </c>
      <c r="K41" s="4">
        <v>1200</v>
      </c>
      <c r="L41" s="4" t="str">
        <f t="shared" si="0"/>
        <v>人民币</v>
      </c>
      <c r="M41" s="4" t="str">
        <f>"T4006123"</f>
        <v>T4006123</v>
      </c>
      <c r="N41" s="4" t="str">
        <f t="shared" si="31"/>
        <v>0149593788</v>
      </c>
      <c r="O41" s="4" t="str">
        <f t="shared" si="1"/>
        <v>300100052893</v>
      </c>
    </row>
    <row r="42" spans="1:15">
      <c r="A42" s="4" t="str">
        <f t="shared" si="29"/>
        <v>20161118</v>
      </c>
      <c r="B42" s="4" t="str">
        <f t="shared" si="30"/>
        <v>20161118</v>
      </c>
      <c r="C42" s="4" t="str">
        <f t="shared" ref="C42:C47" si="32">"证券卖出"</f>
        <v>证券卖出</v>
      </c>
      <c r="D42" s="4" t="str">
        <f>"002183"</f>
        <v>002183</v>
      </c>
      <c r="E42" s="4" t="str">
        <f>"怡 亚 通"</f>
        <v>怡 亚 通</v>
      </c>
      <c r="F42" s="4">
        <v>12.66</v>
      </c>
      <c r="G42" s="4">
        <v>4000</v>
      </c>
      <c r="H42" s="4">
        <v>50640</v>
      </c>
      <c r="I42" s="4">
        <v>50573.66</v>
      </c>
      <c r="J42" s="4">
        <v>51017.83</v>
      </c>
      <c r="K42" s="4">
        <v>2000</v>
      </c>
      <c r="L42" s="4" t="str">
        <f t="shared" si="0"/>
        <v>人民币</v>
      </c>
      <c r="M42" s="4" t="str">
        <f>"T4006310"</f>
        <v>T4006310</v>
      </c>
      <c r="N42" s="4" t="str">
        <f t="shared" si="31"/>
        <v>0149593788</v>
      </c>
      <c r="O42" s="4" t="str">
        <f t="shared" si="1"/>
        <v>300100052893</v>
      </c>
    </row>
    <row r="43" spans="1:15">
      <c r="A43" s="4" t="str">
        <f t="shared" si="29"/>
        <v>20161118</v>
      </c>
      <c r="B43" s="4" t="str">
        <f t="shared" si="30"/>
        <v>20161118</v>
      </c>
      <c r="C43" s="4" t="str">
        <f t="shared" ref="C43:C48" si="33">"证券买入"</f>
        <v>证券买入</v>
      </c>
      <c r="D43" s="4" t="str">
        <f t="shared" ref="D43:D47" si="34">"600575"</f>
        <v>600575</v>
      </c>
      <c r="E43" s="4" t="str">
        <f t="shared" ref="E43:E47" si="35">"皖江物流"</f>
        <v>皖江物流</v>
      </c>
      <c r="F43" s="4">
        <v>5.1</v>
      </c>
      <c r="G43" s="4">
        <v>10000</v>
      </c>
      <c r="H43" s="4">
        <v>51000</v>
      </c>
      <c r="I43" s="4">
        <v>-51016.83</v>
      </c>
      <c r="J43" s="4">
        <v>1</v>
      </c>
      <c r="K43" s="4">
        <v>10000</v>
      </c>
      <c r="L43" s="4" t="str">
        <f t="shared" si="0"/>
        <v>人民币</v>
      </c>
      <c r="M43" s="4" t="str">
        <f>"1361005042"</f>
        <v>1361005042</v>
      </c>
      <c r="N43" s="4" t="str">
        <f t="shared" ref="N43:N47" si="36">"A368402599"</f>
        <v>A368402599</v>
      </c>
      <c r="O43" s="4" t="str">
        <f t="shared" si="1"/>
        <v>300100052893</v>
      </c>
    </row>
    <row r="44" spans="1:15">
      <c r="A44" s="4" t="str">
        <f t="shared" ref="A44:A48" si="37">"20161121"</f>
        <v>20161121</v>
      </c>
      <c r="B44" s="4" t="str">
        <f t="shared" ref="B44:B48" si="38">"20161121"</f>
        <v>20161121</v>
      </c>
      <c r="C44" s="4" t="str">
        <f>"基金赎回拨入"</f>
        <v>基金赎回拨入</v>
      </c>
      <c r="D44" s="4" t="str">
        <f>"AA0007"</f>
        <v>AA0007</v>
      </c>
      <c r="E44" s="4" t="str">
        <f>"银河水星1号集合"</f>
        <v>银河水星1号集合</v>
      </c>
      <c r="F44" s="4">
        <v>0</v>
      </c>
      <c r="G44" s="4">
        <v>17208</v>
      </c>
      <c r="H44" s="4">
        <v>0</v>
      </c>
      <c r="I44" s="4">
        <v>17208.59</v>
      </c>
      <c r="J44" s="4">
        <v>17209.59</v>
      </c>
      <c r="K44" s="4">
        <v>0</v>
      </c>
      <c r="L44" s="4" t="str">
        <f t="shared" si="0"/>
        <v>人民币</v>
      </c>
      <c r="N44" s="4" t="str">
        <f>"980149593788"</f>
        <v>980149593788</v>
      </c>
      <c r="O44" s="4" t="str">
        <f t="shared" si="1"/>
        <v>300100052893</v>
      </c>
    </row>
    <row r="45" spans="1:15">
      <c r="A45" s="4" t="str">
        <f t="shared" si="37"/>
        <v>20161121</v>
      </c>
      <c r="B45" s="4" t="str">
        <f t="shared" si="38"/>
        <v>20161121</v>
      </c>
      <c r="C45" s="4" t="str">
        <f t="shared" si="32"/>
        <v>证券卖出</v>
      </c>
      <c r="D45" s="4" t="str">
        <f t="shared" si="34"/>
        <v>600575</v>
      </c>
      <c r="E45" s="4" t="str">
        <f t="shared" si="35"/>
        <v>皖江物流</v>
      </c>
      <c r="F45" s="4">
        <v>5.43</v>
      </c>
      <c r="G45" s="4">
        <v>3000</v>
      </c>
      <c r="H45" s="4">
        <v>16290</v>
      </c>
      <c r="I45" s="4">
        <v>16268.33</v>
      </c>
      <c r="J45" s="4">
        <v>33477.92</v>
      </c>
      <c r="K45" s="4">
        <v>7000</v>
      </c>
      <c r="L45" s="4" t="str">
        <f t="shared" si="0"/>
        <v>人民币</v>
      </c>
      <c r="M45" s="4" t="str">
        <f>"1361002640"</f>
        <v>1361002640</v>
      </c>
      <c r="N45" s="4" t="str">
        <f t="shared" si="36"/>
        <v>A368402599</v>
      </c>
      <c r="O45" s="4" t="str">
        <f t="shared" si="1"/>
        <v>300100052893</v>
      </c>
    </row>
    <row r="46" spans="1:15">
      <c r="A46" s="4" t="str">
        <f t="shared" si="37"/>
        <v>20161121</v>
      </c>
      <c r="B46" s="4" t="str">
        <f t="shared" si="38"/>
        <v>20161121</v>
      </c>
      <c r="C46" s="4" t="str">
        <f t="shared" si="33"/>
        <v>证券买入</v>
      </c>
      <c r="D46" s="4" t="str">
        <f>"600886"</f>
        <v>600886</v>
      </c>
      <c r="E46" s="4" t="str">
        <f>"国投电力"</f>
        <v>国投电力</v>
      </c>
      <c r="F46" s="4">
        <v>6.69</v>
      </c>
      <c r="G46" s="4">
        <v>8700</v>
      </c>
      <c r="H46" s="4">
        <v>58203</v>
      </c>
      <c r="I46" s="4">
        <v>-58222.2</v>
      </c>
      <c r="J46" s="4">
        <v>-24744.28</v>
      </c>
      <c r="K46" s="4">
        <v>8700</v>
      </c>
      <c r="L46" s="4" t="str">
        <f t="shared" si="0"/>
        <v>人民币</v>
      </c>
      <c r="M46" s="4" t="str">
        <f>"1361003351"</f>
        <v>1361003351</v>
      </c>
      <c r="N46" s="4" t="str">
        <f t="shared" si="36"/>
        <v>A368402599</v>
      </c>
      <c r="O46" s="4" t="str">
        <f t="shared" si="1"/>
        <v>300100052893</v>
      </c>
    </row>
    <row r="47" spans="1:15">
      <c r="A47" s="4" t="str">
        <f t="shared" si="37"/>
        <v>20161121</v>
      </c>
      <c r="B47" s="4" t="str">
        <f t="shared" si="38"/>
        <v>20161121</v>
      </c>
      <c r="C47" s="4" t="str">
        <f t="shared" si="32"/>
        <v>证券卖出</v>
      </c>
      <c r="D47" s="4" t="str">
        <f t="shared" si="34"/>
        <v>600575</v>
      </c>
      <c r="E47" s="4" t="str">
        <f t="shared" si="35"/>
        <v>皖江物流</v>
      </c>
      <c r="F47" s="4">
        <v>5.34</v>
      </c>
      <c r="G47" s="4">
        <v>7000</v>
      </c>
      <c r="H47" s="4">
        <v>37380</v>
      </c>
      <c r="I47" s="4">
        <v>37330.28</v>
      </c>
      <c r="J47" s="4">
        <v>12586</v>
      </c>
      <c r="K47" s="4">
        <v>0</v>
      </c>
      <c r="L47" s="4" t="str">
        <f t="shared" si="0"/>
        <v>人民币</v>
      </c>
      <c r="M47" s="4" t="str">
        <f>"1361004951"</f>
        <v>1361004951</v>
      </c>
      <c r="N47" s="4" t="str">
        <f t="shared" si="36"/>
        <v>A368402599</v>
      </c>
      <c r="O47" s="4" t="str">
        <f t="shared" si="1"/>
        <v>300100052893</v>
      </c>
    </row>
    <row r="48" spans="1:15">
      <c r="A48" s="4" t="str">
        <f t="shared" si="37"/>
        <v>20161121</v>
      </c>
      <c r="B48" s="4" t="str">
        <f t="shared" si="38"/>
        <v>20161121</v>
      </c>
      <c r="C48" s="4" t="str">
        <f t="shared" si="33"/>
        <v>证券买入</v>
      </c>
      <c r="D48" s="4" t="str">
        <f>"150197"</f>
        <v>150197</v>
      </c>
      <c r="E48" s="4" t="str">
        <f>"有色B"</f>
        <v>有色B</v>
      </c>
      <c r="F48" s="4">
        <v>1.258</v>
      </c>
      <c r="G48" s="4">
        <v>10000</v>
      </c>
      <c r="H48" s="4">
        <v>12580</v>
      </c>
      <c r="I48" s="4">
        <v>-12585</v>
      </c>
      <c r="J48" s="4">
        <v>1</v>
      </c>
      <c r="K48" s="4">
        <v>10000</v>
      </c>
      <c r="L48" s="4" t="str">
        <f t="shared" si="0"/>
        <v>人民币</v>
      </c>
      <c r="M48" s="4" t="str">
        <f>"T4006749"</f>
        <v>T4006749</v>
      </c>
      <c r="N48" s="4" t="str">
        <f t="shared" ref="N48:N51" si="39">"0149593788"</f>
        <v>0149593788</v>
      </c>
      <c r="O48" s="4" t="str">
        <f t="shared" si="1"/>
        <v>300100052893</v>
      </c>
    </row>
    <row r="49" spans="1:15">
      <c r="A49" s="4" t="str">
        <f t="shared" ref="A49:A51" si="40">"20161122"</f>
        <v>20161122</v>
      </c>
      <c r="B49" s="4" t="str">
        <f t="shared" ref="B49:B51" si="41">"20161122"</f>
        <v>20161122</v>
      </c>
      <c r="C49" s="4" t="str">
        <f>"基金赎回拨入"</f>
        <v>基金赎回拨入</v>
      </c>
      <c r="D49" s="4" t="str">
        <f>"AA0007"</f>
        <v>AA0007</v>
      </c>
      <c r="E49" s="4" t="str">
        <f>"银河水星1号集合"</f>
        <v>银河水星1号集合</v>
      </c>
      <c r="F49" s="4">
        <v>0</v>
      </c>
      <c r="G49" s="4">
        <v>12322</v>
      </c>
      <c r="H49" s="4">
        <v>0</v>
      </c>
      <c r="I49" s="4">
        <v>12322.86</v>
      </c>
      <c r="J49" s="4">
        <v>12323.86</v>
      </c>
      <c r="K49" s="4">
        <v>0</v>
      </c>
      <c r="L49" s="4" t="str">
        <f t="shared" si="0"/>
        <v>人民币</v>
      </c>
      <c r="N49" s="4" t="str">
        <f>"980149593788"</f>
        <v>980149593788</v>
      </c>
      <c r="O49" s="4" t="str">
        <f t="shared" si="1"/>
        <v>300100052893</v>
      </c>
    </row>
    <row r="50" spans="1:15">
      <c r="A50" s="4" t="str">
        <f t="shared" si="40"/>
        <v>20161122</v>
      </c>
      <c r="B50" s="4" t="str">
        <f t="shared" si="41"/>
        <v>20161122</v>
      </c>
      <c r="C50" s="4" t="str">
        <f>"证券卖出"</f>
        <v>证券卖出</v>
      </c>
      <c r="D50" s="4" t="str">
        <f>"150197"</f>
        <v>150197</v>
      </c>
      <c r="E50" s="4" t="str">
        <f>"有色B"</f>
        <v>有色B</v>
      </c>
      <c r="F50" s="4">
        <v>1.305</v>
      </c>
      <c r="G50" s="4">
        <v>10000</v>
      </c>
      <c r="H50" s="4">
        <v>13050</v>
      </c>
      <c r="I50" s="4">
        <v>13045</v>
      </c>
      <c r="J50" s="4">
        <v>25368.86</v>
      </c>
      <c r="K50" s="4">
        <v>0</v>
      </c>
      <c r="L50" s="4" t="str">
        <f t="shared" si="0"/>
        <v>人民币</v>
      </c>
      <c r="M50" s="4" t="str">
        <f>"T4012902"</f>
        <v>T4012902</v>
      </c>
      <c r="N50" s="4" t="str">
        <f t="shared" si="39"/>
        <v>0149593788</v>
      </c>
      <c r="O50" s="4" t="str">
        <f t="shared" si="1"/>
        <v>300100052893</v>
      </c>
    </row>
    <row r="51" spans="1:15">
      <c r="A51" s="4" t="str">
        <f t="shared" si="40"/>
        <v>20161122</v>
      </c>
      <c r="B51" s="4" t="str">
        <f t="shared" si="41"/>
        <v>20161122</v>
      </c>
      <c r="C51" s="4" t="str">
        <f t="shared" ref="C51:C55" si="42">"证券买入"</f>
        <v>证券买入</v>
      </c>
      <c r="D51" s="4" t="str">
        <f>"002183"</f>
        <v>002183</v>
      </c>
      <c r="E51" s="4" t="str">
        <f>"怡 亚 通"</f>
        <v>怡 亚 通</v>
      </c>
      <c r="F51" s="4">
        <v>12.68</v>
      </c>
      <c r="G51" s="4">
        <v>2000</v>
      </c>
      <c r="H51" s="4">
        <v>25360</v>
      </c>
      <c r="I51" s="4">
        <v>-25367.86</v>
      </c>
      <c r="J51" s="4">
        <v>1</v>
      </c>
      <c r="K51" s="4">
        <v>4000</v>
      </c>
      <c r="L51" s="4" t="str">
        <f t="shared" si="0"/>
        <v>人民币</v>
      </c>
      <c r="M51" s="4" t="str">
        <f>"T4015568"</f>
        <v>T4015568</v>
      </c>
      <c r="N51" s="4" t="str">
        <f t="shared" si="39"/>
        <v>0149593788</v>
      </c>
      <c r="O51" s="4" t="str">
        <f t="shared" si="1"/>
        <v>300100052893</v>
      </c>
    </row>
    <row r="52" spans="1:15">
      <c r="A52" s="4" t="str">
        <f t="shared" ref="A52:A55" si="43">"20161123"</f>
        <v>20161123</v>
      </c>
      <c r="B52" s="4" t="str">
        <f t="shared" ref="B52:B55" si="44">"20161123"</f>
        <v>20161123</v>
      </c>
      <c r="C52" s="4" t="str">
        <f>"基金申购拨出"</f>
        <v>基金申购拨出</v>
      </c>
      <c r="D52" s="4" t="str">
        <f>"AA0007"</f>
        <v>AA0007</v>
      </c>
      <c r="E52" s="4" t="str">
        <f>"银河水星1号集合"</f>
        <v>银河水星1号集合</v>
      </c>
      <c r="F52" s="4">
        <v>0</v>
      </c>
      <c r="G52" s="4">
        <v>0</v>
      </c>
      <c r="H52" s="4">
        <v>0</v>
      </c>
      <c r="I52" s="4">
        <v>-37835.74</v>
      </c>
      <c r="J52" s="4">
        <v>-37834.74</v>
      </c>
      <c r="K52" s="4">
        <v>0</v>
      </c>
      <c r="L52" s="4" t="str">
        <f t="shared" si="0"/>
        <v>人民币</v>
      </c>
      <c r="N52" s="4" t="str">
        <f>"980149593788"</f>
        <v>980149593788</v>
      </c>
      <c r="O52" s="4" t="str">
        <f t="shared" si="1"/>
        <v>300100052893</v>
      </c>
    </row>
    <row r="53" spans="1:15">
      <c r="A53" s="4" t="str">
        <f t="shared" si="43"/>
        <v>20161123</v>
      </c>
      <c r="B53" s="4" t="str">
        <f t="shared" si="44"/>
        <v>20161123</v>
      </c>
      <c r="C53" s="4" t="str">
        <f t="shared" si="42"/>
        <v>证券买入</v>
      </c>
      <c r="D53" s="4" t="str">
        <f>"002543"</f>
        <v>002543</v>
      </c>
      <c r="E53" s="4" t="str">
        <f>"万和电气"</f>
        <v>万和电气</v>
      </c>
      <c r="F53" s="4">
        <v>19.24</v>
      </c>
      <c r="G53" s="4">
        <v>500</v>
      </c>
      <c r="H53" s="4">
        <v>9620</v>
      </c>
      <c r="I53" s="4">
        <v>-9625</v>
      </c>
      <c r="J53" s="4">
        <v>-47459.74</v>
      </c>
      <c r="K53" s="4">
        <v>1000</v>
      </c>
      <c r="L53" s="4" t="str">
        <f t="shared" si="0"/>
        <v>人民币</v>
      </c>
      <c r="M53" s="4" t="str">
        <f>"T4001983"</f>
        <v>T4001983</v>
      </c>
      <c r="N53" s="4" t="str">
        <f t="shared" ref="N53:N59" si="45">"0149593788"</f>
        <v>0149593788</v>
      </c>
      <c r="O53" s="4" t="str">
        <f t="shared" si="1"/>
        <v>300100052893</v>
      </c>
    </row>
    <row r="54" spans="1:15">
      <c r="A54" s="4" t="str">
        <f t="shared" si="43"/>
        <v>20161123</v>
      </c>
      <c r="B54" s="4" t="str">
        <f t="shared" si="44"/>
        <v>20161123</v>
      </c>
      <c r="C54" s="4" t="str">
        <f>"证券卖出"</f>
        <v>证券卖出</v>
      </c>
      <c r="D54" s="4" t="str">
        <f>"600886"</f>
        <v>600886</v>
      </c>
      <c r="E54" s="4" t="str">
        <f>"国投电力"</f>
        <v>国投电力</v>
      </c>
      <c r="F54" s="4">
        <v>6.85</v>
      </c>
      <c r="G54" s="4">
        <v>8700</v>
      </c>
      <c r="H54" s="4">
        <v>59595</v>
      </c>
      <c r="I54" s="4">
        <v>59515.74</v>
      </c>
      <c r="J54" s="4">
        <v>12056</v>
      </c>
      <c r="K54" s="4">
        <v>0</v>
      </c>
      <c r="L54" s="4" t="str">
        <f t="shared" si="0"/>
        <v>人民币</v>
      </c>
      <c r="M54" s="4" t="str">
        <f>"1361004238"</f>
        <v>1361004238</v>
      </c>
      <c r="N54" s="4" t="str">
        <f>"A368402599"</f>
        <v>A368402599</v>
      </c>
      <c r="O54" s="4" t="str">
        <f t="shared" si="1"/>
        <v>300100052893</v>
      </c>
    </row>
    <row r="55" spans="1:15">
      <c r="A55" s="4" t="str">
        <f t="shared" si="43"/>
        <v>20161123</v>
      </c>
      <c r="B55" s="4" t="str">
        <f t="shared" si="44"/>
        <v>20161123</v>
      </c>
      <c r="C55" s="4" t="str">
        <f t="shared" si="42"/>
        <v>证券买入</v>
      </c>
      <c r="D55" s="4" t="str">
        <f>"150182"</f>
        <v>150182</v>
      </c>
      <c r="E55" s="4" t="str">
        <f>"军工B"</f>
        <v>军工B</v>
      </c>
      <c r="F55" s="4">
        <v>1.205</v>
      </c>
      <c r="G55" s="4">
        <v>10000</v>
      </c>
      <c r="H55" s="4">
        <v>12050</v>
      </c>
      <c r="I55" s="4">
        <v>-12055</v>
      </c>
      <c r="J55" s="4">
        <v>1</v>
      </c>
      <c r="K55" s="4">
        <v>10000</v>
      </c>
      <c r="L55" s="4" t="str">
        <f t="shared" si="0"/>
        <v>人民币</v>
      </c>
      <c r="M55" s="4" t="str">
        <f>"T4011769"</f>
        <v>T4011769</v>
      </c>
      <c r="N55" s="4" t="str">
        <f t="shared" si="45"/>
        <v>0149593788</v>
      </c>
      <c r="O55" s="4" t="str">
        <f t="shared" si="1"/>
        <v>300100052893</v>
      </c>
    </row>
    <row r="56" spans="1:15">
      <c r="A56" s="4" t="str">
        <f t="shared" ref="A56:A59" si="46">"20161124"</f>
        <v>20161124</v>
      </c>
      <c r="B56" s="4" t="str">
        <f t="shared" ref="B56:B59" si="47">"20161124"</f>
        <v>20161124</v>
      </c>
      <c r="C56" s="4" t="str">
        <f>"基金赎回拨入"</f>
        <v>基金赎回拨入</v>
      </c>
      <c r="D56" s="4" t="str">
        <f>"AA0007"</f>
        <v>AA0007</v>
      </c>
      <c r="E56" s="4" t="str">
        <f>"银河水星1号集合"</f>
        <v>银河水星1号集合</v>
      </c>
      <c r="F56" s="4">
        <v>0</v>
      </c>
      <c r="G56" s="4">
        <v>14765</v>
      </c>
      <c r="H56" s="4">
        <v>0</v>
      </c>
      <c r="I56" s="4">
        <v>14765</v>
      </c>
      <c r="J56" s="4">
        <v>14766</v>
      </c>
      <c r="K56" s="4">
        <v>0</v>
      </c>
      <c r="L56" s="4" t="str">
        <f t="shared" si="0"/>
        <v>人民币</v>
      </c>
      <c r="N56" s="4" t="str">
        <f>"980149593788"</f>
        <v>980149593788</v>
      </c>
      <c r="O56" s="4" t="str">
        <f t="shared" si="1"/>
        <v>300100052893</v>
      </c>
    </row>
    <row r="57" spans="1:15">
      <c r="A57" s="4" t="str">
        <f t="shared" si="46"/>
        <v>20161124</v>
      </c>
      <c r="B57" s="4" t="str">
        <f t="shared" si="47"/>
        <v>20161124</v>
      </c>
      <c r="C57" s="4" t="str">
        <f>"证券卖出"</f>
        <v>证券卖出</v>
      </c>
      <c r="D57" s="4" t="str">
        <f>"150182"</f>
        <v>150182</v>
      </c>
      <c r="E57" s="4" t="str">
        <f>"军工B"</f>
        <v>军工B</v>
      </c>
      <c r="F57" s="4">
        <v>1.165</v>
      </c>
      <c r="G57" s="4">
        <v>10000</v>
      </c>
      <c r="H57" s="4">
        <v>11650</v>
      </c>
      <c r="I57" s="4">
        <v>11645</v>
      </c>
      <c r="J57" s="4">
        <v>26411</v>
      </c>
      <c r="K57" s="4">
        <v>0</v>
      </c>
      <c r="L57" s="4" t="str">
        <f t="shared" si="0"/>
        <v>人民币</v>
      </c>
      <c r="M57" s="4" t="str">
        <f>"T4004751"</f>
        <v>T4004751</v>
      </c>
      <c r="N57" s="4" t="str">
        <f t="shared" si="45"/>
        <v>0149593788</v>
      </c>
      <c r="O57" s="4" t="str">
        <f t="shared" si="1"/>
        <v>300100052893</v>
      </c>
    </row>
    <row r="58" spans="1:15">
      <c r="A58" s="4" t="str">
        <f t="shared" si="46"/>
        <v>20161124</v>
      </c>
      <c r="B58" s="4" t="str">
        <f t="shared" si="47"/>
        <v>20161124</v>
      </c>
      <c r="C58" s="4" t="str">
        <f t="shared" ref="C58:C61" si="48">"证券买入"</f>
        <v>证券买入</v>
      </c>
      <c r="D58" s="4" t="str">
        <f t="shared" ref="D58:D62" si="49">"150197"</f>
        <v>150197</v>
      </c>
      <c r="E58" s="4" t="str">
        <f t="shared" ref="E58:E62" si="50">"有色B"</f>
        <v>有色B</v>
      </c>
      <c r="F58" s="4">
        <v>1.328</v>
      </c>
      <c r="G58" s="4">
        <v>10000</v>
      </c>
      <c r="H58" s="4">
        <v>13280</v>
      </c>
      <c r="I58" s="4">
        <v>-13285</v>
      </c>
      <c r="J58" s="4">
        <v>13126</v>
      </c>
      <c r="K58" s="4">
        <v>10000</v>
      </c>
      <c r="L58" s="4" t="str">
        <f t="shared" si="0"/>
        <v>人民币</v>
      </c>
      <c r="M58" s="4" t="str">
        <f>"T4006581"</f>
        <v>T4006581</v>
      </c>
      <c r="N58" s="4" t="str">
        <f t="shared" si="45"/>
        <v>0149593788</v>
      </c>
      <c r="O58" s="4" t="str">
        <f t="shared" si="1"/>
        <v>300100052893</v>
      </c>
    </row>
    <row r="59" spans="1:15">
      <c r="A59" s="4" t="str">
        <f t="shared" si="46"/>
        <v>20161124</v>
      </c>
      <c r="B59" s="4" t="str">
        <f t="shared" si="47"/>
        <v>20161124</v>
      </c>
      <c r="C59" s="4" t="str">
        <f t="shared" si="48"/>
        <v>证券买入</v>
      </c>
      <c r="D59" s="4" t="str">
        <f t="shared" si="49"/>
        <v>150197</v>
      </c>
      <c r="E59" s="4" t="str">
        <f t="shared" si="50"/>
        <v>有色B</v>
      </c>
      <c r="F59" s="4">
        <v>1.312</v>
      </c>
      <c r="G59" s="4">
        <v>10000</v>
      </c>
      <c r="H59" s="4">
        <v>13120</v>
      </c>
      <c r="I59" s="4">
        <v>-13125</v>
      </c>
      <c r="J59" s="4">
        <v>1</v>
      </c>
      <c r="K59" s="4">
        <v>20000</v>
      </c>
      <c r="L59" s="4" t="str">
        <f t="shared" si="0"/>
        <v>人民币</v>
      </c>
      <c r="M59" s="4" t="str">
        <f>"T4010846"</f>
        <v>T4010846</v>
      </c>
      <c r="N59" s="4" t="str">
        <f t="shared" si="45"/>
        <v>0149593788</v>
      </c>
      <c r="O59" s="4" t="str">
        <f t="shared" si="1"/>
        <v>300100052893</v>
      </c>
    </row>
    <row r="60" spans="1:15">
      <c r="A60" s="4" t="str">
        <f t="shared" ref="A60:A63" si="51">"20161125"</f>
        <v>20161125</v>
      </c>
      <c r="B60" s="4" t="str">
        <f t="shared" ref="B60:B63" si="52">"20161125"</f>
        <v>20161125</v>
      </c>
      <c r="C60" s="4" t="str">
        <f>"基金赎回拨入"</f>
        <v>基金赎回拨入</v>
      </c>
      <c r="D60" s="4" t="str">
        <f>"AA0007"</f>
        <v>AA0007</v>
      </c>
      <c r="E60" s="4" t="str">
        <f>"银河水星1号集合"</f>
        <v>银河水星1号集合</v>
      </c>
      <c r="F60" s="4">
        <v>0</v>
      </c>
      <c r="G60" s="4">
        <v>4710</v>
      </c>
      <c r="H60" s="4">
        <v>0</v>
      </c>
      <c r="I60" s="4">
        <v>4710.4</v>
      </c>
      <c r="J60" s="4">
        <v>4711.4</v>
      </c>
      <c r="K60" s="4">
        <v>0</v>
      </c>
      <c r="L60" s="4" t="str">
        <f t="shared" si="0"/>
        <v>人民币</v>
      </c>
      <c r="N60" s="4" t="str">
        <f>"980149593788"</f>
        <v>980149593788</v>
      </c>
      <c r="O60" s="4" t="str">
        <f t="shared" si="1"/>
        <v>300100052893</v>
      </c>
    </row>
    <row r="61" spans="1:15">
      <c r="A61" s="4" t="str">
        <f t="shared" si="51"/>
        <v>20161125</v>
      </c>
      <c r="B61" s="4" t="str">
        <f t="shared" si="52"/>
        <v>20161125</v>
      </c>
      <c r="C61" s="4" t="str">
        <f t="shared" si="48"/>
        <v>证券买入</v>
      </c>
      <c r="D61" s="4" t="str">
        <f>"600886"</f>
        <v>600886</v>
      </c>
      <c r="E61" s="4" t="str">
        <f>"国投电力"</f>
        <v>国投电力</v>
      </c>
      <c r="F61" s="4">
        <v>6.76</v>
      </c>
      <c r="G61" s="4">
        <v>2500</v>
      </c>
      <c r="H61" s="4">
        <v>16900</v>
      </c>
      <c r="I61" s="4">
        <v>-16905.58</v>
      </c>
      <c r="J61" s="4">
        <v>-12194.18</v>
      </c>
      <c r="K61" s="4">
        <v>2500</v>
      </c>
      <c r="L61" s="4" t="str">
        <f t="shared" si="0"/>
        <v>人民币</v>
      </c>
      <c r="M61" s="4" t="str">
        <f>"1361000514"</f>
        <v>1361000514</v>
      </c>
      <c r="N61" s="4" t="str">
        <f>"A368402599"</f>
        <v>A368402599</v>
      </c>
      <c r="O61" s="4" t="str">
        <f t="shared" si="1"/>
        <v>300100052893</v>
      </c>
    </row>
    <row r="62" spans="1:15">
      <c r="A62" s="4" t="str">
        <f t="shared" si="51"/>
        <v>20161125</v>
      </c>
      <c r="B62" s="4" t="str">
        <f t="shared" si="52"/>
        <v>20161125</v>
      </c>
      <c r="C62" s="4" t="str">
        <f>"证券卖出"</f>
        <v>证券卖出</v>
      </c>
      <c r="D62" s="4" t="str">
        <f t="shared" si="49"/>
        <v>150197</v>
      </c>
      <c r="E62" s="4" t="str">
        <f t="shared" si="50"/>
        <v>有色B</v>
      </c>
      <c r="F62" s="4">
        <v>1.262</v>
      </c>
      <c r="G62" s="4">
        <v>20000</v>
      </c>
      <c r="H62" s="4">
        <v>25240</v>
      </c>
      <c r="I62" s="4">
        <v>25232.18</v>
      </c>
      <c r="J62" s="4">
        <v>13038</v>
      </c>
      <c r="K62" s="4">
        <v>0</v>
      </c>
      <c r="L62" s="4" t="str">
        <f t="shared" si="0"/>
        <v>人民币</v>
      </c>
      <c r="M62" s="4" t="str">
        <f>"T4004046"</f>
        <v>T4004046</v>
      </c>
      <c r="N62" s="4" t="str">
        <f t="shared" ref="N62:N66" si="53">"0149593788"</f>
        <v>0149593788</v>
      </c>
      <c r="O62" s="4" t="str">
        <f t="shared" si="1"/>
        <v>300100052893</v>
      </c>
    </row>
    <row r="63" spans="1:15">
      <c r="A63" s="4" t="str">
        <f t="shared" si="51"/>
        <v>20161125</v>
      </c>
      <c r="B63" s="4" t="str">
        <f t="shared" si="52"/>
        <v>20161125</v>
      </c>
      <c r="C63" s="4" t="str">
        <f>"证券买入"</f>
        <v>证券买入</v>
      </c>
      <c r="D63" s="4" t="str">
        <f>"000601"</f>
        <v>000601</v>
      </c>
      <c r="E63" s="4" t="str">
        <f>"韶能股份"</f>
        <v>韶能股份</v>
      </c>
      <c r="F63" s="4">
        <v>10.86</v>
      </c>
      <c r="G63" s="4">
        <v>1200</v>
      </c>
      <c r="H63" s="4">
        <v>13032</v>
      </c>
      <c r="I63" s="4">
        <v>-13037</v>
      </c>
      <c r="J63" s="4">
        <v>1</v>
      </c>
      <c r="K63" s="4">
        <v>2400</v>
      </c>
      <c r="L63" s="4" t="str">
        <f t="shared" si="0"/>
        <v>人民币</v>
      </c>
      <c r="M63" s="4" t="str">
        <f>"T4011538"</f>
        <v>T4011538</v>
      </c>
      <c r="N63" s="4" t="str">
        <f t="shared" si="53"/>
        <v>0149593788</v>
      </c>
      <c r="O63" s="4" t="str">
        <f t="shared" si="1"/>
        <v>300100052893</v>
      </c>
    </row>
    <row r="64" spans="1:15">
      <c r="A64" s="4" t="str">
        <f t="shared" ref="A64:A66" si="54">"20161129"</f>
        <v>20161129</v>
      </c>
      <c r="B64" s="4" t="str">
        <f t="shared" ref="B64:B66" si="55">"20161129"</f>
        <v>20161129</v>
      </c>
      <c r="C64" s="4" t="str">
        <f>"基金申购拨出"</f>
        <v>基金申购拨出</v>
      </c>
      <c r="D64" s="4" t="str">
        <f>"AA0007"</f>
        <v>AA0007</v>
      </c>
      <c r="E64" s="4" t="str">
        <f>"银河水星1号集合"</f>
        <v>银河水星1号集合</v>
      </c>
      <c r="F64" s="4">
        <v>0</v>
      </c>
      <c r="G64" s="4">
        <v>0</v>
      </c>
      <c r="H64" s="4">
        <v>0</v>
      </c>
      <c r="I64" s="4">
        <v>-5276.88</v>
      </c>
      <c r="J64" s="4">
        <v>-5275.88</v>
      </c>
      <c r="K64" s="4">
        <v>0</v>
      </c>
      <c r="L64" s="4" t="str">
        <f t="shared" si="0"/>
        <v>人民币</v>
      </c>
      <c r="N64" s="4" t="str">
        <f>"980149593788"</f>
        <v>980149593788</v>
      </c>
      <c r="O64" s="4" t="str">
        <f t="shared" si="1"/>
        <v>300100052893</v>
      </c>
    </row>
    <row r="65" spans="1:15">
      <c r="A65" s="4" t="str">
        <f t="shared" si="54"/>
        <v>20161129</v>
      </c>
      <c r="B65" s="4" t="str">
        <f t="shared" si="55"/>
        <v>20161129</v>
      </c>
      <c r="C65" s="4" t="str">
        <f>"证券卖出"</f>
        <v>证券卖出</v>
      </c>
      <c r="D65" s="4" t="str">
        <f>"600886"</f>
        <v>600886</v>
      </c>
      <c r="E65" s="4" t="str">
        <f>"国投电力"</f>
        <v>国投电力</v>
      </c>
      <c r="F65" s="4">
        <v>6.95</v>
      </c>
      <c r="G65" s="4">
        <v>2500</v>
      </c>
      <c r="H65" s="4">
        <v>17375</v>
      </c>
      <c r="I65" s="4">
        <v>17351.88</v>
      </c>
      <c r="J65" s="4">
        <v>12076</v>
      </c>
      <c r="K65" s="4">
        <v>0</v>
      </c>
      <c r="L65" s="4" t="str">
        <f t="shared" si="0"/>
        <v>人民币</v>
      </c>
      <c r="M65" s="4" t="str">
        <f>"1361005901"</f>
        <v>1361005901</v>
      </c>
      <c r="N65" s="4" t="str">
        <f t="shared" ref="N65:N73" si="56">"A368402599"</f>
        <v>A368402599</v>
      </c>
      <c r="O65" s="4" t="str">
        <f t="shared" si="1"/>
        <v>300100052893</v>
      </c>
    </row>
    <row r="66" spans="1:15">
      <c r="A66" s="4" t="str">
        <f t="shared" si="54"/>
        <v>20161129</v>
      </c>
      <c r="B66" s="4" t="str">
        <f t="shared" si="55"/>
        <v>20161129</v>
      </c>
      <c r="C66" s="4" t="str">
        <f t="shared" ref="C66:C70" si="57">"证券买入"</f>
        <v>证券买入</v>
      </c>
      <c r="D66" s="4" t="str">
        <f>"002183"</f>
        <v>002183</v>
      </c>
      <c r="E66" s="4" t="str">
        <f>"怡 亚 通"</f>
        <v>怡 亚 通</v>
      </c>
      <c r="F66" s="4">
        <v>12.07</v>
      </c>
      <c r="G66" s="4">
        <v>1000</v>
      </c>
      <c r="H66" s="4">
        <v>12070</v>
      </c>
      <c r="I66" s="4">
        <v>-12075</v>
      </c>
      <c r="J66" s="4">
        <v>1</v>
      </c>
      <c r="K66" s="4">
        <v>5000</v>
      </c>
      <c r="L66" s="4" t="str">
        <f t="shared" ref="L66:L112" si="58">"人民币"</f>
        <v>人民币</v>
      </c>
      <c r="M66" s="4" t="str">
        <f>"T4007482"</f>
        <v>T4007482</v>
      </c>
      <c r="N66" s="4" t="str">
        <f t="shared" si="53"/>
        <v>0149593788</v>
      </c>
      <c r="O66" s="4" t="str">
        <f t="shared" ref="O66:O112" si="59">"300100052893"</f>
        <v>300100052893</v>
      </c>
    </row>
    <row r="67" spans="1:15">
      <c r="A67" s="4" t="str">
        <f t="shared" ref="A67:A70" si="60">"20161130"</f>
        <v>20161130</v>
      </c>
      <c r="B67" s="4" t="str">
        <f t="shared" ref="B67:B73" si="61">"20161130"</f>
        <v>20161130</v>
      </c>
      <c r="C67" s="4" t="str">
        <f>"银行转证券"</f>
        <v>银行转证券</v>
      </c>
      <c r="F67" s="4">
        <v>0</v>
      </c>
      <c r="G67" s="4">
        <v>0</v>
      </c>
      <c r="H67" s="4">
        <v>0</v>
      </c>
      <c r="I67" s="4">
        <v>80000</v>
      </c>
      <c r="J67" s="4">
        <v>80001</v>
      </c>
      <c r="K67" s="4">
        <v>0</v>
      </c>
      <c r="L67" s="4" t="str">
        <f t="shared" si="58"/>
        <v>人民币</v>
      </c>
      <c r="O67" s="4" t="str">
        <f t="shared" si="59"/>
        <v>300100052893</v>
      </c>
    </row>
    <row r="68" spans="1:15">
      <c r="A68" s="4" t="str">
        <f t="shared" si="60"/>
        <v>20161130</v>
      </c>
      <c r="B68" s="4" t="str">
        <f t="shared" si="61"/>
        <v>20161130</v>
      </c>
      <c r="C68" s="4" t="str">
        <f>"基金赎回拨入"</f>
        <v>基金赎回拨入</v>
      </c>
      <c r="D68" s="4" t="str">
        <f>"AA0007"</f>
        <v>AA0007</v>
      </c>
      <c r="E68" s="4" t="str">
        <f>"银河水星1号集合"</f>
        <v>银河水星1号集合</v>
      </c>
      <c r="F68" s="4">
        <v>0</v>
      </c>
      <c r="G68" s="4">
        <v>29939</v>
      </c>
      <c r="H68" s="4">
        <v>0</v>
      </c>
      <c r="I68" s="4">
        <v>29939.3</v>
      </c>
      <c r="J68" s="4">
        <v>109940.3</v>
      </c>
      <c r="K68" s="4">
        <v>0</v>
      </c>
      <c r="L68" s="4" t="str">
        <f t="shared" si="58"/>
        <v>人民币</v>
      </c>
      <c r="N68" s="4" t="str">
        <f>"980149593788"</f>
        <v>980149593788</v>
      </c>
      <c r="O68" s="4" t="str">
        <f t="shared" si="59"/>
        <v>300100052893</v>
      </c>
    </row>
    <row r="69" spans="1:15">
      <c r="A69" s="4" t="str">
        <f t="shared" si="60"/>
        <v>20161130</v>
      </c>
      <c r="B69" s="4" t="str">
        <f t="shared" si="61"/>
        <v>20161130</v>
      </c>
      <c r="C69" s="4" t="str">
        <f t="shared" si="57"/>
        <v>证券买入</v>
      </c>
      <c r="D69" s="4" t="str">
        <f t="shared" ref="D69:D73" si="62">"511990"</f>
        <v>511990</v>
      </c>
      <c r="E69" s="4" t="str">
        <f t="shared" ref="E69:E73" si="63">"华宝添益"</f>
        <v>华宝添益</v>
      </c>
      <c r="F69" s="4">
        <v>99.939</v>
      </c>
      <c r="G69" s="4">
        <v>300</v>
      </c>
      <c r="H69" s="4">
        <v>29981.7</v>
      </c>
      <c r="I69" s="4">
        <v>-29981.7</v>
      </c>
      <c r="J69" s="4">
        <v>79958.6</v>
      </c>
      <c r="K69" s="4">
        <v>300</v>
      </c>
      <c r="L69" s="4" t="str">
        <f t="shared" si="58"/>
        <v>人民币</v>
      </c>
      <c r="M69" s="4" t="str">
        <f>"1361005308"</f>
        <v>1361005308</v>
      </c>
      <c r="N69" s="4" t="str">
        <f t="shared" si="56"/>
        <v>A368402599</v>
      </c>
      <c r="O69" s="4" t="str">
        <f t="shared" si="59"/>
        <v>300100052893</v>
      </c>
    </row>
    <row r="70" spans="1:15">
      <c r="A70" s="4" t="str">
        <f t="shared" si="60"/>
        <v>20161130</v>
      </c>
      <c r="B70" s="4" t="str">
        <f t="shared" si="61"/>
        <v>20161130</v>
      </c>
      <c r="C70" s="4" t="str">
        <f t="shared" si="57"/>
        <v>证券买入</v>
      </c>
      <c r="D70" s="4" t="str">
        <f t="shared" si="62"/>
        <v>511990</v>
      </c>
      <c r="E70" s="4" t="str">
        <f t="shared" si="63"/>
        <v>华宝添益</v>
      </c>
      <c r="F70" s="4">
        <v>99.947</v>
      </c>
      <c r="G70" s="4">
        <v>800</v>
      </c>
      <c r="H70" s="4">
        <v>79957.6</v>
      </c>
      <c r="I70" s="4">
        <v>-79957.6</v>
      </c>
      <c r="J70" s="4">
        <v>1</v>
      </c>
      <c r="K70" s="4">
        <v>1100</v>
      </c>
      <c r="L70" s="4" t="str">
        <f t="shared" si="58"/>
        <v>人民币</v>
      </c>
      <c r="M70" s="4" t="str">
        <f>"1361005658"</f>
        <v>1361005658</v>
      </c>
      <c r="N70" s="4" t="str">
        <f t="shared" si="56"/>
        <v>A368402599</v>
      </c>
      <c r="O70" s="4" t="str">
        <f t="shared" si="59"/>
        <v>300100052893</v>
      </c>
    </row>
    <row r="71" spans="1:15">
      <c r="A71" s="4" t="str">
        <f t="shared" ref="A71:A73" si="64">"20161201"</f>
        <v>20161201</v>
      </c>
      <c r="B71" s="4" t="str">
        <f t="shared" si="61"/>
        <v>20161130</v>
      </c>
      <c r="C71" s="4" t="str">
        <f>"ETF 基金赎回"</f>
        <v>ETF 基金赎回</v>
      </c>
      <c r="D71" s="4" t="str">
        <f>"511991"</f>
        <v>511991</v>
      </c>
      <c r="E71" s="4" t="str">
        <f>"添益申赎"</f>
        <v>添益申赎</v>
      </c>
      <c r="F71" s="4">
        <v>0</v>
      </c>
      <c r="G71" s="4">
        <v>300</v>
      </c>
      <c r="H71" s="4">
        <v>0</v>
      </c>
      <c r="I71" s="4">
        <v>0</v>
      </c>
      <c r="J71" s="4">
        <v>1</v>
      </c>
      <c r="K71" s="4">
        <v>0</v>
      </c>
      <c r="L71" s="4" t="str">
        <f t="shared" si="58"/>
        <v>人民币</v>
      </c>
      <c r="M71" s="4" t="str">
        <f>"1361005516"</f>
        <v>1361005516</v>
      </c>
      <c r="N71" s="4" t="str">
        <f t="shared" si="56"/>
        <v>A368402599</v>
      </c>
      <c r="O71" s="4" t="str">
        <f t="shared" si="59"/>
        <v>300100052893</v>
      </c>
    </row>
    <row r="72" spans="1:15">
      <c r="A72" s="4" t="str">
        <f t="shared" si="64"/>
        <v>20161201</v>
      </c>
      <c r="B72" s="4" t="str">
        <f t="shared" si="61"/>
        <v>20161130</v>
      </c>
      <c r="C72" s="4" t="str">
        <f>"ETF 基金赎回"</f>
        <v>ETF 基金赎回</v>
      </c>
      <c r="D72" s="4" t="str">
        <f>"511991"</f>
        <v>511991</v>
      </c>
      <c r="E72" s="4" t="str">
        <f>"添益申赎"</f>
        <v>添益申赎</v>
      </c>
      <c r="F72" s="4">
        <v>0</v>
      </c>
      <c r="G72" s="4">
        <v>800</v>
      </c>
      <c r="H72" s="4">
        <v>0</v>
      </c>
      <c r="I72" s="4">
        <v>0</v>
      </c>
      <c r="J72" s="4">
        <v>1</v>
      </c>
      <c r="K72" s="4">
        <v>0</v>
      </c>
      <c r="L72" s="4" t="str">
        <f t="shared" si="58"/>
        <v>人民币</v>
      </c>
      <c r="M72" s="4" t="str">
        <f>"1361005678"</f>
        <v>1361005678</v>
      </c>
      <c r="N72" s="4" t="str">
        <f t="shared" si="56"/>
        <v>A368402599</v>
      </c>
      <c r="O72" s="4" t="str">
        <f t="shared" si="59"/>
        <v>300100052893</v>
      </c>
    </row>
    <row r="73" spans="1:15">
      <c r="A73" s="4" t="str">
        <f t="shared" si="64"/>
        <v>20161201</v>
      </c>
      <c r="B73" s="4" t="str">
        <f t="shared" si="61"/>
        <v>20161130</v>
      </c>
      <c r="C73" s="4" t="str">
        <f>"ETF 申购退款"</f>
        <v>ETF 申购退款</v>
      </c>
      <c r="D73" s="4" t="str">
        <f t="shared" si="62"/>
        <v>511990</v>
      </c>
      <c r="E73" s="4" t="str">
        <f t="shared" si="63"/>
        <v>华宝添益</v>
      </c>
      <c r="F73" s="4">
        <v>0</v>
      </c>
      <c r="G73" s="4">
        <v>0</v>
      </c>
      <c r="H73" s="4">
        <v>110002.54</v>
      </c>
      <c r="I73" s="4">
        <v>110002.54</v>
      </c>
      <c r="J73" s="4">
        <v>110003.54</v>
      </c>
      <c r="K73" s="4">
        <v>0</v>
      </c>
      <c r="L73" s="4" t="str">
        <f t="shared" si="58"/>
        <v>人民币</v>
      </c>
      <c r="N73" s="4" t="str">
        <f t="shared" si="56"/>
        <v>A368402599</v>
      </c>
      <c r="O73" s="4" t="str">
        <f t="shared" si="59"/>
        <v>300100052893</v>
      </c>
    </row>
    <row r="74" spans="1:15">
      <c r="A74" s="4" t="str">
        <f>"20161202"</f>
        <v>20161202</v>
      </c>
      <c r="B74" s="4" t="str">
        <f>"20161202"</f>
        <v>20161202</v>
      </c>
      <c r="C74" s="4" t="str">
        <f>"基金申购拨出"</f>
        <v>基金申购拨出</v>
      </c>
      <c r="D74" s="4" t="str">
        <f t="shared" ref="D74:D78" si="65">"AA0007"</f>
        <v>AA0007</v>
      </c>
      <c r="E74" s="4" t="str">
        <f t="shared" ref="E74:E78" si="66">"银河水星1号集合"</f>
        <v>银河水星1号集合</v>
      </c>
      <c r="F74" s="4">
        <v>0</v>
      </c>
      <c r="G74" s="4">
        <v>0</v>
      </c>
      <c r="H74" s="4">
        <v>0</v>
      </c>
      <c r="I74" s="4">
        <v>-30003.34</v>
      </c>
      <c r="J74" s="4">
        <v>80000.2</v>
      </c>
      <c r="K74" s="4">
        <v>0</v>
      </c>
      <c r="L74" s="4" t="str">
        <f t="shared" si="58"/>
        <v>人民币</v>
      </c>
      <c r="N74" s="4" t="str">
        <f t="shared" ref="N74:N78" si="67">"980149593788"</f>
        <v>980149593788</v>
      </c>
      <c r="O74" s="4" t="str">
        <f t="shared" si="59"/>
        <v>300100052893</v>
      </c>
    </row>
    <row r="75" spans="1:15">
      <c r="A75" s="4" t="str">
        <f>"20161202"</f>
        <v>20161202</v>
      </c>
      <c r="B75" s="4" t="str">
        <f>"20161202"</f>
        <v>20161202</v>
      </c>
      <c r="C75" s="4" t="str">
        <f t="shared" ref="C75:C80" si="68">"证券买入"</f>
        <v>证券买入</v>
      </c>
      <c r="D75" s="4" t="str">
        <f>"511990"</f>
        <v>511990</v>
      </c>
      <c r="E75" s="4" t="str">
        <f>"华宝添益"</f>
        <v>华宝添益</v>
      </c>
      <c r="F75" s="4">
        <v>99.999</v>
      </c>
      <c r="G75" s="4">
        <v>800</v>
      </c>
      <c r="H75" s="4">
        <v>79999.2</v>
      </c>
      <c r="I75" s="4">
        <v>-79999.2</v>
      </c>
      <c r="J75" s="4">
        <v>1</v>
      </c>
      <c r="K75" s="4">
        <v>800</v>
      </c>
      <c r="L75" s="4" t="str">
        <f t="shared" si="58"/>
        <v>人民币</v>
      </c>
      <c r="M75" s="4" t="str">
        <f>"1361008022"</f>
        <v>1361008022</v>
      </c>
      <c r="N75" s="4" t="str">
        <f t="shared" ref="N75:N81" si="69">"A368402599"</f>
        <v>A368402599</v>
      </c>
      <c r="O75" s="4" t="str">
        <f t="shared" si="59"/>
        <v>300100052893</v>
      </c>
    </row>
    <row r="76" spans="1:15">
      <c r="A76" s="4" t="str">
        <f>"20161205"</f>
        <v>20161205</v>
      </c>
      <c r="B76" s="4" t="str">
        <f t="shared" ref="B76:B79" si="70">"20161205"</f>
        <v>20161205</v>
      </c>
      <c r="C76" s="4" t="str">
        <f>"基金赎回拨入"</f>
        <v>基金赎回拨入</v>
      </c>
      <c r="D76" s="4" t="str">
        <f t="shared" si="65"/>
        <v>AA0007</v>
      </c>
      <c r="E76" s="4" t="str">
        <f t="shared" si="66"/>
        <v>银河水星1号集合</v>
      </c>
      <c r="F76" s="4">
        <v>0</v>
      </c>
      <c r="G76" s="4">
        <v>9305</v>
      </c>
      <c r="H76" s="4">
        <v>0</v>
      </c>
      <c r="I76" s="4">
        <v>9305</v>
      </c>
      <c r="J76" s="4">
        <v>9306</v>
      </c>
      <c r="K76" s="4">
        <v>0</v>
      </c>
      <c r="L76" s="4" t="str">
        <f t="shared" si="58"/>
        <v>人民币</v>
      </c>
      <c r="N76" s="4" t="str">
        <f t="shared" si="67"/>
        <v>980149593788</v>
      </c>
      <c r="O76" s="4" t="str">
        <f t="shared" si="59"/>
        <v>300100052893</v>
      </c>
    </row>
    <row r="77" spans="1:15">
      <c r="A77" s="4" t="str">
        <f>"20161205"</f>
        <v>20161205</v>
      </c>
      <c r="B77" s="4" t="str">
        <f t="shared" si="70"/>
        <v>20161205</v>
      </c>
      <c r="C77" s="4" t="str">
        <f t="shared" si="68"/>
        <v>证券买入</v>
      </c>
      <c r="D77" s="4" t="str">
        <f>"000601"</f>
        <v>000601</v>
      </c>
      <c r="E77" s="4" t="str">
        <f>"韶能股份"</f>
        <v>韶能股份</v>
      </c>
      <c r="F77" s="4">
        <v>9.3</v>
      </c>
      <c r="G77" s="4">
        <v>1000</v>
      </c>
      <c r="H77" s="4">
        <v>9300</v>
      </c>
      <c r="I77" s="4">
        <v>-9305</v>
      </c>
      <c r="J77" s="4">
        <v>1</v>
      </c>
      <c r="K77" s="4">
        <v>3400</v>
      </c>
      <c r="L77" s="4" t="str">
        <f t="shared" si="58"/>
        <v>人民币</v>
      </c>
      <c r="M77" s="4" t="str">
        <f>"T4004259"</f>
        <v>T4004259</v>
      </c>
      <c r="N77" s="4" t="str">
        <f>"0149593788"</f>
        <v>0149593788</v>
      </c>
      <c r="O77" s="4" t="str">
        <f t="shared" si="59"/>
        <v>300100052893</v>
      </c>
    </row>
    <row r="78" spans="1:15">
      <c r="A78" s="4" t="str">
        <f t="shared" ref="A78:A81" si="71">"20161206"</f>
        <v>20161206</v>
      </c>
      <c r="B78" s="4" t="str">
        <f>"20161206"</f>
        <v>20161206</v>
      </c>
      <c r="C78" s="4" t="str">
        <f>"基金赎回拨入"</f>
        <v>基金赎回拨入</v>
      </c>
      <c r="D78" s="4" t="str">
        <f t="shared" si="65"/>
        <v>AA0007</v>
      </c>
      <c r="E78" s="4" t="str">
        <f t="shared" si="66"/>
        <v>银河水星1号集合</v>
      </c>
      <c r="F78" s="4">
        <v>0</v>
      </c>
      <c r="G78" s="4">
        <v>17155</v>
      </c>
      <c r="H78" s="4">
        <v>0</v>
      </c>
      <c r="I78" s="4">
        <v>17155.66</v>
      </c>
      <c r="J78" s="4">
        <v>17156.66</v>
      </c>
      <c r="K78" s="4">
        <v>0</v>
      </c>
      <c r="L78" s="4" t="str">
        <f t="shared" si="58"/>
        <v>人民币</v>
      </c>
      <c r="N78" s="4" t="str">
        <f t="shared" si="67"/>
        <v>980149593788</v>
      </c>
      <c r="O78" s="4" t="str">
        <f t="shared" si="59"/>
        <v>300100052893</v>
      </c>
    </row>
    <row r="79" spans="1:15">
      <c r="A79" s="4" t="str">
        <f t="shared" si="71"/>
        <v>20161206</v>
      </c>
      <c r="B79" s="4" t="str">
        <f t="shared" si="70"/>
        <v>20161205</v>
      </c>
      <c r="C79" s="4" t="str">
        <f>"ETF 基金赎回"</f>
        <v>ETF 基金赎回</v>
      </c>
      <c r="D79" s="4" t="str">
        <f>"511991"</f>
        <v>511991</v>
      </c>
      <c r="E79" s="4" t="str">
        <f>"添益申赎"</f>
        <v>添益申赎</v>
      </c>
      <c r="F79" s="4">
        <v>0</v>
      </c>
      <c r="G79" s="4">
        <v>800</v>
      </c>
      <c r="H79" s="4">
        <v>0</v>
      </c>
      <c r="I79" s="4">
        <v>0</v>
      </c>
      <c r="J79" s="4">
        <v>17156.66</v>
      </c>
      <c r="K79" s="4">
        <v>0</v>
      </c>
      <c r="L79" s="4" t="str">
        <f t="shared" si="58"/>
        <v>人民币</v>
      </c>
      <c r="M79" s="4" t="str">
        <f>"1361002571"</f>
        <v>1361002571</v>
      </c>
      <c r="N79" s="4" t="str">
        <f t="shared" si="69"/>
        <v>A368402599</v>
      </c>
      <c r="O79" s="4" t="str">
        <f t="shared" si="59"/>
        <v>300100052893</v>
      </c>
    </row>
    <row r="80" spans="1:15">
      <c r="A80" s="4" t="str">
        <f t="shared" si="71"/>
        <v>20161206</v>
      </c>
      <c r="B80" s="4" t="str">
        <f>"20161206"</f>
        <v>20161206</v>
      </c>
      <c r="C80" s="4" t="str">
        <f t="shared" si="68"/>
        <v>证券买入</v>
      </c>
      <c r="D80" s="4" t="str">
        <f>"600886"</f>
        <v>600886</v>
      </c>
      <c r="E80" s="4" t="str">
        <f>"国投电力"</f>
        <v>国投电力</v>
      </c>
      <c r="F80" s="4">
        <v>6.86</v>
      </c>
      <c r="G80" s="4">
        <v>2500</v>
      </c>
      <c r="H80" s="4">
        <v>17150</v>
      </c>
      <c r="I80" s="4">
        <v>-17155.66</v>
      </c>
      <c r="J80" s="4">
        <v>1</v>
      </c>
      <c r="K80" s="4">
        <v>2500</v>
      </c>
      <c r="L80" s="4" t="str">
        <f t="shared" si="58"/>
        <v>人民币</v>
      </c>
      <c r="M80" s="4" t="str">
        <f>"1361002458"</f>
        <v>1361002458</v>
      </c>
      <c r="N80" s="4" t="str">
        <f t="shared" si="69"/>
        <v>A368402599</v>
      </c>
      <c r="O80" s="4" t="str">
        <f t="shared" si="59"/>
        <v>300100052893</v>
      </c>
    </row>
    <row r="81" spans="1:15">
      <c r="A81" s="4" t="str">
        <f t="shared" si="71"/>
        <v>20161206</v>
      </c>
      <c r="B81" s="4" t="str">
        <f>"20161205"</f>
        <v>20161205</v>
      </c>
      <c r="C81" s="4" t="str">
        <f>"ETF 申购退款"</f>
        <v>ETF 申购退款</v>
      </c>
      <c r="D81" s="4" t="str">
        <f>"511990"</f>
        <v>511990</v>
      </c>
      <c r="E81" s="4" t="str">
        <f>"华宝添益"</f>
        <v>华宝添益</v>
      </c>
      <c r="F81" s="4">
        <v>0</v>
      </c>
      <c r="G81" s="4">
        <v>0</v>
      </c>
      <c r="H81" s="4">
        <v>80020.93</v>
      </c>
      <c r="I81" s="4">
        <v>80020.93</v>
      </c>
      <c r="J81" s="4">
        <v>80021.93</v>
      </c>
      <c r="K81" s="4">
        <v>0</v>
      </c>
      <c r="L81" s="4" t="str">
        <f t="shared" si="58"/>
        <v>人民币</v>
      </c>
      <c r="N81" s="4" t="str">
        <f t="shared" si="69"/>
        <v>A368402599</v>
      </c>
      <c r="O81" s="4" t="str">
        <f t="shared" si="59"/>
        <v>300100052893</v>
      </c>
    </row>
    <row r="82" spans="1:15">
      <c r="A82" s="4" t="str">
        <f>"20161207"</f>
        <v>20161207</v>
      </c>
      <c r="B82" s="4" t="str">
        <f>"20161207"</f>
        <v>20161207</v>
      </c>
      <c r="C82" s="4" t="str">
        <f>"基金申购拨出"</f>
        <v>基金申购拨出</v>
      </c>
      <c r="D82" s="4" t="str">
        <f t="shared" ref="D82:D85" si="72">"AA0007"</f>
        <v>AA0007</v>
      </c>
      <c r="E82" s="4" t="str">
        <f t="shared" ref="E82:E85" si="73">"银河水星1号集合"</f>
        <v>银河水星1号集合</v>
      </c>
      <c r="F82" s="4">
        <v>0</v>
      </c>
      <c r="G82" s="4">
        <v>0</v>
      </c>
      <c r="H82" s="4">
        <v>0</v>
      </c>
      <c r="I82" s="4">
        <v>-80021.93</v>
      </c>
      <c r="J82" s="4">
        <v>0</v>
      </c>
      <c r="K82" s="4">
        <v>0</v>
      </c>
      <c r="L82" s="4" t="str">
        <f t="shared" si="58"/>
        <v>人民币</v>
      </c>
      <c r="N82" s="4" t="str">
        <f t="shared" ref="N82:N85" si="74">"980149593788"</f>
        <v>980149593788</v>
      </c>
      <c r="O82" s="4" t="str">
        <f t="shared" si="59"/>
        <v>300100052893</v>
      </c>
    </row>
    <row r="83" spans="1:15">
      <c r="A83" s="4" t="str">
        <f>"20161213"</f>
        <v>20161213</v>
      </c>
      <c r="B83" s="4" t="str">
        <f>"20161213"</f>
        <v>20161213</v>
      </c>
      <c r="C83" s="4" t="str">
        <f>"基金赎回拨入"</f>
        <v>基金赎回拨入</v>
      </c>
      <c r="D83" s="4" t="str">
        <f t="shared" si="72"/>
        <v>AA0007</v>
      </c>
      <c r="E83" s="4" t="str">
        <f t="shared" si="73"/>
        <v>银河水星1号集合</v>
      </c>
      <c r="F83" s="4">
        <v>0</v>
      </c>
      <c r="G83" s="4">
        <v>24938</v>
      </c>
      <c r="H83" s="4">
        <v>0</v>
      </c>
      <c r="I83" s="4">
        <v>24938.73</v>
      </c>
      <c r="J83" s="4">
        <v>24938.73</v>
      </c>
      <c r="K83" s="4">
        <v>0</v>
      </c>
      <c r="L83" s="4" t="str">
        <f t="shared" si="58"/>
        <v>人民币</v>
      </c>
      <c r="N83" s="4" t="str">
        <f t="shared" si="74"/>
        <v>980149593788</v>
      </c>
      <c r="O83" s="4" t="str">
        <f t="shared" si="59"/>
        <v>300100052893</v>
      </c>
    </row>
    <row r="84" spans="1:15">
      <c r="A84" s="4" t="str">
        <f>"20161213"</f>
        <v>20161213</v>
      </c>
      <c r="B84" s="4" t="str">
        <f>"20161213"</f>
        <v>20161213</v>
      </c>
      <c r="C84" s="4" t="str">
        <f>"证券买入"</f>
        <v>证券买入</v>
      </c>
      <c r="D84" s="4" t="str">
        <f>"000601"</f>
        <v>000601</v>
      </c>
      <c r="E84" s="4" t="str">
        <f>"韶能股份"</f>
        <v>韶能股份</v>
      </c>
      <c r="F84" s="4">
        <v>8.31</v>
      </c>
      <c r="G84" s="4">
        <v>3000</v>
      </c>
      <c r="H84" s="4">
        <v>24930</v>
      </c>
      <c r="I84" s="4">
        <v>-24937.73</v>
      </c>
      <c r="J84" s="4">
        <v>1</v>
      </c>
      <c r="K84" s="4">
        <v>6400</v>
      </c>
      <c r="L84" s="4" t="str">
        <f t="shared" si="58"/>
        <v>人民币</v>
      </c>
      <c r="M84" s="4" t="str">
        <f>"T4001398"</f>
        <v>T4001398</v>
      </c>
      <c r="N84" s="4" t="str">
        <f t="shared" ref="N84:N88" si="75">"0149593788"</f>
        <v>0149593788</v>
      </c>
      <c r="O84" s="4" t="str">
        <f t="shared" si="59"/>
        <v>300100052893</v>
      </c>
    </row>
    <row r="85" spans="1:15">
      <c r="A85" s="4" t="str">
        <f>"20161215"</f>
        <v>20161215</v>
      </c>
      <c r="B85" s="4" t="str">
        <f>"20161215"</f>
        <v>20161215</v>
      </c>
      <c r="C85" s="4" t="str">
        <f>"基金赎回拨入"</f>
        <v>基金赎回拨入</v>
      </c>
      <c r="D85" s="4" t="str">
        <f t="shared" si="72"/>
        <v>AA0007</v>
      </c>
      <c r="E85" s="4" t="str">
        <f t="shared" si="73"/>
        <v>银河水星1号集合</v>
      </c>
      <c r="F85" s="4">
        <v>0</v>
      </c>
      <c r="G85" s="4">
        <v>59932</v>
      </c>
      <c r="H85" s="4">
        <v>0</v>
      </c>
      <c r="I85" s="4">
        <v>59932.8</v>
      </c>
      <c r="J85" s="4">
        <v>59933.8</v>
      </c>
      <c r="K85" s="4">
        <v>0</v>
      </c>
      <c r="L85" s="4" t="str">
        <f t="shared" si="58"/>
        <v>人民币</v>
      </c>
      <c r="N85" s="4" t="str">
        <f t="shared" si="74"/>
        <v>980149593788</v>
      </c>
      <c r="O85" s="4" t="str">
        <f t="shared" si="59"/>
        <v>300100052893</v>
      </c>
    </row>
    <row r="86" spans="1:15">
      <c r="A86" s="4" t="str">
        <f>"20161215"</f>
        <v>20161215</v>
      </c>
      <c r="B86" s="4" t="str">
        <f>"20161215"</f>
        <v>20161215</v>
      </c>
      <c r="C86" s="4" t="str">
        <f>"证券买入"</f>
        <v>证券买入</v>
      </c>
      <c r="D86" s="4" t="str">
        <f>"511990"</f>
        <v>511990</v>
      </c>
      <c r="E86" s="4" t="str">
        <f>"华宝添益"</f>
        <v>华宝添益</v>
      </c>
      <c r="F86" s="4">
        <v>99.888</v>
      </c>
      <c r="G86" s="4">
        <v>600</v>
      </c>
      <c r="H86" s="4">
        <v>59932.8</v>
      </c>
      <c r="I86" s="4">
        <v>-59932.8</v>
      </c>
      <c r="J86" s="4">
        <v>1</v>
      </c>
      <c r="K86" s="4">
        <v>600</v>
      </c>
      <c r="L86" s="4" t="str">
        <f t="shared" si="58"/>
        <v>人民币</v>
      </c>
      <c r="M86" s="4" t="str">
        <f>"1361003002"</f>
        <v>1361003002</v>
      </c>
      <c r="N86" s="4" t="str">
        <f t="shared" ref="N86:N90" si="76">"A368402599"</f>
        <v>A368402599</v>
      </c>
      <c r="O86" s="4" t="str">
        <f t="shared" si="59"/>
        <v>300100052893</v>
      </c>
    </row>
    <row r="87" spans="1:15">
      <c r="A87" s="4" t="str">
        <f>"20161216"</f>
        <v>20161216</v>
      </c>
      <c r="B87" s="4" t="str">
        <f t="shared" ref="B87:B90" si="77">"20161216"</f>
        <v>20161216</v>
      </c>
      <c r="C87" s="4" t="str">
        <f>"基金下折"</f>
        <v>基金下折</v>
      </c>
      <c r="D87" s="4" t="str">
        <f>"161024"</f>
        <v>161024</v>
      </c>
      <c r="E87" s="4" t="str">
        <f>"军工分级"</f>
        <v>军工分级</v>
      </c>
      <c r="F87" s="4">
        <v>0</v>
      </c>
      <c r="G87" s="4">
        <v>2082</v>
      </c>
      <c r="H87" s="4">
        <v>0</v>
      </c>
      <c r="I87" s="4">
        <v>0</v>
      </c>
      <c r="J87" s="4">
        <v>1</v>
      </c>
      <c r="K87" s="4">
        <v>0</v>
      </c>
      <c r="L87" s="4" t="str">
        <f t="shared" si="58"/>
        <v>人民币</v>
      </c>
      <c r="N87" s="4" t="str">
        <f t="shared" si="75"/>
        <v>0149593788</v>
      </c>
      <c r="O87" s="4" t="str">
        <f t="shared" si="59"/>
        <v>300100052893</v>
      </c>
    </row>
    <row r="88" spans="1:15">
      <c r="A88" s="4" t="str">
        <f>"20161216"</f>
        <v>20161216</v>
      </c>
      <c r="B88" s="4" t="str">
        <f t="shared" si="77"/>
        <v>20161216</v>
      </c>
      <c r="C88" s="4" t="str">
        <f>"基金上折"</f>
        <v>基金上折</v>
      </c>
      <c r="D88" s="4" t="str">
        <f>"161024"</f>
        <v>161024</v>
      </c>
      <c r="E88" s="4" t="str">
        <f>"军工分级"</f>
        <v>军工分级</v>
      </c>
      <c r="F88" s="4">
        <v>0</v>
      </c>
      <c r="G88" s="4">
        <v>2121</v>
      </c>
      <c r="H88" s="4">
        <v>0</v>
      </c>
      <c r="I88" s="4">
        <v>0</v>
      </c>
      <c r="J88" s="4">
        <v>1</v>
      </c>
      <c r="K88" s="4">
        <v>2121</v>
      </c>
      <c r="L88" s="4" t="str">
        <f t="shared" si="58"/>
        <v>人民币</v>
      </c>
      <c r="N88" s="4" t="str">
        <f t="shared" si="75"/>
        <v>0149593788</v>
      </c>
      <c r="O88" s="4" t="str">
        <f t="shared" si="59"/>
        <v>300100052893</v>
      </c>
    </row>
    <row r="89" spans="1:15">
      <c r="A89" s="4" t="str">
        <f>"20161219"</f>
        <v>20161219</v>
      </c>
      <c r="B89" s="4" t="str">
        <f t="shared" si="77"/>
        <v>20161216</v>
      </c>
      <c r="C89" s="4" t="str">
        <f>"ETF 基金赎回"</f>
        <v>ETF 基金赎回</v>
      </c>
      <c r="D89" s="4" t="str">
        <f>"511991"</f>
        <v>511991</v>
      </c>
      <c r="E89" s="4" t="str">
        <f>"添益申赎"</f>
        <v>添益申赎</v>
      </c>
      <c r="F89" s="4">
        <v>0</v>
      </c>
      <c r="G89" s="4">
        <v>600</v>
      </c>
      <c r="H89" s="4">
        <v>0</v>
      </c>
      <c r="I89" s="4">
        <v>0</v>
      </c>
      <c r="J89" s="4">
        <v>1</v>
      </c>
      <c r="K89" s="4">
        <v>0</v>
      </c>
      <c r="L89" s="4" t="str">
        <f t="shared" si="58"/>
        <v>人民币</v>
      </c>
      <c r="M89" s="4" t="str">
        <f>"1361002598"</f>
        <v>1361002598</v>
      </c>
      <c r="N89" s="4" t="str">
        <f t="shared" si="76"/>
        <v>A368402599</v>
      </c>
      <c r="O89" s="4" t="str">
        <f t="shared" si="59"/>
        <v>300100052893</v>
      </c>
    </row>
    <row r="90" spans="1:15">
      <c r="A90" s="4" t="str">
        <f>"20161219"</f>
        <v>20161219</v>
      </c>
      <c r="B90" s="4" t="str">
        <f t="shared" si="77"/>
        <v>20161216</v>
      </c>
      <c r="C90" s="4" t="str">
        <f>"ETF 申购退款"</f>
        <v>ETF 申购退款</v>
      </c>
      <c r="D90" s="4" t="str">
        <f>"511990"</f>
        <v>511990</v>
      </c>
      <c r="E90" s="4" t="str">
        <f>"华宝添益"</f>
        <v>华宝添益</v>
      </c>
      <c r="F90" s="4">
        <v>0</v>
      </c>
      <c r="G90" s="4">
        <v>0</v>
      </c>
      <c r="H90" s="4">
        <v>60015.14</v>
      </c>
      <c r="I90" s="4">
        <v>60015.14</v>
      </c>
      <c r="J90" s="4">
        <v>60016.14</v>
      </c>
      <c r="K90" s="4">
        <v>0</v>
      </c>
      <c r="L90" s="4" t="str">
        <f t="shared" si="58"/>
        <v>人民币</v>
      </c>
      <c r="N90" s="4" t="str">
        <f t="shared" si="76"/>
        <v>A368402599</v>
      </c>
      <c r="O90" s="4" t="str">
        <f t="shared" si="59"/>
        <v>300100052893</v>
      </c>
    </row>
    <row r="91" spans="1:15">
      <c r="A91" s="4" t="str">
        <f>"20161220"</f>
        <v>20161220</v>
      </c>
      <c r="B91" s="4" t="str">
        <f>"20161220"</f>
        <v>20161220</v>
      </c>
      <c r="C91" s="4" t="str">
        <f>"利息归本"</f>
        <v>利息归本</v>
      </c>
      <c r="F91" s="4">
        <v>0</v>
      </c>
      <c r="G91" s="4">
        <v>0</v>
      </c>
      <c r="H91" s="4">
        <v>0</v>
      </c>
      <c r="I91" s="4">
        <v>19.3</v>
      </c>
      <c r="J91" s="4">
        <v>60035.44</v>
      </c>
      <c r="K91" s="4">
        <v>0</v>
      </c>
      <c r="L91" s="4" t="str">
        <f t="shared" si="58"/>
        <v>人民币</v>
      </c>
      <c r="O91" s="4" t="str">
        <f t="shared" si="59"/>
        <v>300100052893</v>
      </c>
    </row>
    <row r="92" spans="1:15">
      <c r="A92" s="4" t="str">
        <f>"20161220"</f>
        <v>20161220</v>
      </c>
      <c r="B92" s="4" t="str">
        <f>"20161220"</f>
        <v>20161220</v>
      </c>
      <c r="C92" s="4" t="str">
        <f>"基金申购拨出"</f>
        <v>基金申购拨出</v>
      </c>
      <c r="D92" s="4" t="str">
        <f t="shared" ref="D92:D94" si="78">"AA0007"</f>
        <v>AA0007</v>
      </c>
      <c r="E92" s="4" t="str">
        <f t="shared" ref="E92:E94" si="79">"银河水星1号集合"</f>
        <v>银河水星1号集合</v>
      </c>
      <c r="F92" s="4">
        <v>0</v>
      </c>
      <c r="G92" s="4">
        <v>0</v>
      </c>
      <c r="H92" s="4">
        <v>0</v>
      </c>
      <c r="I92" s="4">
        <v>-60016.14</v>
      </c>
      <c r="J92" s="4">
        <v>19.3</v>
      </c>
      <c r="K92" s="4">
        <v>0</v>
      </c>
      <c r="L92" s="4" t="str">
        <f t="shared" si="58"/>
        <v>人民币</v>
      </c>
      <c r="N92" s="4" t="str">
        <f t="shared" ref="N92:N94" si="80">"980149593788"</f>
        <v>980149593788</v>
      </c>
      <c r="O92" s="4" t="str">
        <f t="shared" si="59"/>
        <v>300100052893</v>
      </c>
    </row>
    <row r="93" spans="1:15">
      <c r="A93" s="4" t="str">
        <f>"20161222"</f>
        <v>20161222</v>
      </c>
      <c r="B93" s="4" t="str">
        <f>"0"</f>
        <v>0</v>
      </c>
      <c r="C93" s="4" t="str">
        <f>"基金红利拨入"</f>
        <v>基金红利拨入</v>
      </c>
      <c r="D93" s="4" t="str">
        <f t="shared" si="78"/>
        <v>AA0007</v>
      </c>
      <c r="E93" s="4" t="str">
        <f t="shared" si="79"/>
        <v>银河水星1号集合</v>
      </c>
      <c r="F93" s="4">
        <v>0</v>
      </c>
      <c r="G93" s="4">
        <v>0</v>
      </c>
      <c r="H93" s="4">
        <v>63.22</v>
      </c>
      <c r="I93" s="4">
        <v>63.22</v>
      </c>
      <c r="J93" s="4">
        <v>82.52</v>
      </c>
      <c r="K93" s="4">
        <v>0</v>
      </c>
      <c r="L93" s="4" t="str">
        <f t="shared" si="58"/>
        <v>人民币</v>
      </c>
      <c r="N93" s="4" t="str">
        <f t="shared" si="80"/>
        <v>980149593788</v>
      </c>
      <c r="O93" s="4" t="str">
        <f t="shared" si="59"/>
        <v>300100052893</v>
      </c>
    </row>
    <row r="94" spans="1:15">
      <c r="A94" s="4" t="str">
        <f>"20161226"</f>
        <v>20161226</v>
      </c>
      <c r="B94" s="4" t="str">
        <f>"20161226"</f>
        <v>20161226</v>
      </c>
      <c r="C94" s="4" t="str">
        <f t="shared" ref="C94:C99" si="81">"基金赎回拨入"</f>
        <v>基金赎回拨入</v>
      </c>
      <c r="D94" s="4" t="str">
        <f t="shared" si="78"/>
        <v>AA0007</v>
      </c>
      <c r="E94" s="4" t="str">
        <f t="shared" si="79"/>
        <v>银河水星1号集合</v>
      </c>
      <c r="F94" s="4">
        <v>0</v>
      </c>
      <c r="G94" s="4">
        <v>16423</v>
      </c>
      <c r="H94" s="4">
        <v>0</v>
      </c>
      <c r="I94" s="4">
        <v>16423.93</v>
      </c>
      <c r="J94" s="4">
        <v>16506.45</v>
      </c>
      <c r="K94" s="4">
        <v>0</v>
      </c>
      <c r="L94" s="4" t="str">
        <f t="shared" si="58"/>
        <v>人民币</v>
      </c>
      <c r="N94" s="4" t="str">
        <f t="shared" si="80"/>
        <v>980149593788</v>
      </c>
      <c r="O94" s="4" t="str">
        <f t="shared" si="59"/>
        <v>300100052893</v>
      </c>
    </row>
    <row r="95" spans="1:15">
      <c r="A95" s="4" t="str">
        <f>"20161226"</f>
        <v>20161226</v>
      </c>
      <c r="B95" s="4" t="str">
        <f>"20161226"</f>
        <v>20161226</v>
      </c>
      <c r="C95" s="4" t="str">
        <f>"证券买入"</f>
        <v>证券买入</v>
      </c>
      <c r="D95" s="4" t="str">
        <f>"600886"</f>
        <v>600886</v>
      </c>
      <c r="E95" s="4" t="str">
        <f>"国投电力"</f>
        <v>国投电力</v>
      </c>
      <c r="F95" s="4">
        <v>6.6</v>
      </c>
      <c r="G95" s="4">
        <v>2500</v>
      </c>
      <c r="H95" s="4">
        <v>16500</v>
      </c>
      <c r="I95" s="4">
        <v>-16505.45</v>
      </c>
      <c r="J95" s="4">
        <v>1</v>
      </c>
      <c r="K95" s="4">
        <v>5000</v>
      </c>
      <c r="L95" s="4" t="str">
        <f t="shared" si="58"/>
        <v>人民币</v>
      </c>
      <c r="M95" s="4" t="str">
        <f>"1361002296"</f>
        <v>1361002296</v>
      </c>
      <c r="N95" s="4" t="str">
        <f t="shared" ref="N95:N101" si="82">"A368402599"</f>
        <v>A368402599</v>
      </c>
      <c r="O95" s="4" t="str">
        <f t="shared" si="59"/>
        <v>300100052893</v>
      </c>
    </row>
    <row r="96" spans="1:15">
      <c r="A96" s="4" t="str">
        <f>"20161227"</f>
        <v>20161227</v>
      </c>
      <c r="B96" s="4" t="str">
        <f t="shared" ref="B96:B100" si="83">"20161227"</f>
        <v>20161227</v>
      </c>
      <c r="C96" s="4" t="str">
        <f t="shared" si="81"/>
        <v>基金赎回拨入</v>
      </c>
      <c r="D96" s="4" t="str">
        <f>"AA0007"</f>
        <v>AA0007</v>
      </c>
      <c r="E96" s="4" t="str">
        <f>"银河水星1号集合"</f>
        <v>银河水星1号集合</v>
      </c>
      <c r="F96" s="4">
        <v>0</v>
      </c>
      <c r="G96" s="4">
        <v>9997</v>
      </c>
      <c r="H96" s="4">
        <v>0</v>
      </c>
      <c r="I96" s="4">
        <v>9997.4</v>
      </c>
      <c r="J96" s="4">
        <v>9998.4</v>
      </c>
      <c r="K96" s="4">
        <v>0</v>
      </c>
      <c r="L96" s="4" t="str">
        <f t="shared" si="58"/>
        <v>人民币</v>
      </c>
      <c r="N96" s="4" t="str">
        <f>"980149593788"</f>
        <v>980149593788</v>
      </c>
      <c r="O96" s="4" t="str">
        <f t="shared" si="59"/>
        <v>300100052893</v>
      </c>
    </row>
    <row r="97" spans="1:15">
      <c r="A97" s="4" t="str">
        <f>"20161227"</f>
        <v>20161227</v>
      </c>
      <c r="B97" s="4" t="str">
        <f t="shared" si="83"/>
        <v>20161227</v>
      </c>
      <c r="C97" s="4" t="str">
        <f>"证券买入"</f>
        <v>证券买入</v>
      </c>
      <c r="D97" s="4" t="str">
        <f>"511990"</f>
        <v>511990</v>
      </c>
      <c r="E97" s="4" t="str">
        <f>"华宝添益"</f>
        <v>华宝添益</v>
      </c>
      <c r="F97" s="4">
        <v>99.974</v>
      </c>
      <c r="G97" s="4">
        <v>100</v>
      </c>
      <c r="H97" s="4">
        <v>9997.4</v>
      </c>
      <c r="I97" s="4">
        <v>-9997.4</v>
      </c>
      <c r="J97" s="4">
        <v>1</v>
      </c>
      <c r="K97" s="4">
        <v>100</v>
      </c>
      <c r="L97" s="4" t="str">
        <f t="shared" si="58"/>
        <v>人民币</v>
      </c>
      <c r="M97" s="4" t="str">
        <f>"1361008057"</f>
        <v>1361008057</v>
      </c>
      <c r="N97" s="4" t="str">
        <f t="shared" si="82"/>
        <v>A368402599</v>
      </c>
      <c r="O97" s="4" t="str">
        <f t="shared" si="59"/>
        <v>300100052893</v>
      </c>
    </row>
    <row r="98" spans="1:15">
      <c r="A98" s="4" t="str">
        <f t="shared" ref="A98:A105" si="84">"20161228"</f>
        <v>20161228</v>
      </c>
      <c r="B98" s="4" t="str">
        <f t="shared" ref="B98:B104" si="85">"20161228"</f>
        <v>20161228</v>
      </c>
      <c r="C98" s="4" t="str">
        <f>"银行转证券"</f>
        <v>银行转证券</v>
      </c>
      <c r="F98" s="4">
        <v>0</v>
      </c>
      <c r="G98" s="4">
        <v>0</v>
      </c>
      <c r="H98" s="4">
        <v>0</v>
      </c>
      <c r="I98" s="4">
        <v>31000</v>
      </c>
      <c r="J98" s="4">
        <v>31001</v>
      </c>
      <c r="K98" s="4">
        <v>0</v>
      </c>
      <c r="L98" s="4" t="str">
        <f t="shared" si="58"/>
        <v>人民币</v>
      </c>
      <c r="O98" s="4" t="str">
        <f t="shared" si="59"/>
        <v>300100052893</v>
      </c>
    </row>
    <row r="99" spans="1:15">
      <c r="A99" s="4" t="str">
        <f t="shared" si="84"/>
        <v>20161228</v>
      </c>
      <c r="B99" s="4" t="str">
        <f t="shared" si="85"/>
        <v>20161228</v>
      </c>
      <c r="C99" s="4" t="str">
        <f t="shared" si="81"/>
        <v>基金赎回拨入</v>
      </c>
      <c r="D99" s="4" t="str">
        <f>"AA0007"</f>
        <v>AA0007</v>
      </c>
      <c r="E99" s="4" t="str">
        <f>"银河水星1号集合"</f>
        <v>银河水星1号集合</v>
      </c>
      <c r="F99" s="4">
        <v>0</v>
      </c>
      <c r="G99" s="4">
        <v>28996</v>
      </c>
      <c r="H99" s="4">
        <v>0</v>
      </c>
      <c r="I99" s="4">
        <v>28996.7</v>
      </c>
      <c r="J99" s="4">
        <v>59997.7</v>
      </c>
      <c r="K99" s="4">
        <v>0</v>
      </c>
      <c r="L99" s="4" t="str">
        <f t="shared" si="58"/>
        <v>人民币</v>
      </c>
      <c r="N99" s="4" t="str">
        <f>"980149593788"</f>
        <v>980149593788</v>
      </c>
      <c r="O99" s="4" t="str">
        <f t="shared" si="59"/>
        <v>300100052893</v>
      </c>
    </row>
    <row r="100" spans="1:15">
      <c r="A100" s="4" t="str">
        <f t="shared" si="84"/>
        <v>20161228</v>
      </c>
      <c r="B100" s="4" t="str">
        <f t="shared" si="83"/>
        <v>20161227</v>
      </c>
      <c r="C100" s="4" t="str">
        <f>"ETF 基金赎回"</f>
        <v>ETF 基金赎回</v>
      </c>
      <c r="D100" s="4" t="str">
        <f>"511991"</f>
        <v>511991</v>
      </c>
      <c r="E100" s="4" t="str">
        <f>"添益申赎"</f>
        <v>添益申赎</v>
      </c>
      <c r="F100" s="4">
        <v>0</v>
      </c>
      <c r="G100" s="4">
        <v>100</v>
      </c>
      <c r="H100" s="4">
        <v>0</v>
      </c>
      <c r="I100" s="4">
        <v>0</v>
      </c>
      <c r="J100" s="4">
        <v>59997.7</v>
      </c>
      <c r="K100" s="4">
        <v>0</v>
      </c>
      <c r="L100" s="4" t="str">
        <f t="shared" si="58"/>
        <v>人民币</v>
      </c>
      <c r="M100" s="4" t="str">
        <f>"1361008157"</f>
        <v>1361008157</v>
      </c>
      <c r="N100" s="4" t="str">
        <f t="shared" si="82"/>
        <v>A368402599</v>
      </c>
      <c r="O100" s="4" t="str">
        <f t="shared" si="59"/>
        <v>300100052893</v>
      </c>
    </row>
    <row r="101" spans="1:15">
      <c r="A101" s="4" t="str">
        <f t="shared" si="84"/>
        <v>20161228</v>
      </c>
      <c r="B101" s="4" t="str">
        <f t="shared" si="85"/>
        <v>20161228</v>
      </c>
      <c r="C101" s="4" t="str">
        <f>"证券买入"</f>
        <v>证券买入</v>
      </c>
      <c r="D101" s="4" t="str">
        <f>"511990"</f>
        <v>511990</v>
      </c>
      <c r="E101" s="4" t="str">
        <f>"华宝添益"</f>
        <v>华宝添益</v>
      </c>
      <c r="F101" s="4">
        <v>99.957</v>
      </c>
      <c r="G101" s="4">
        <v>100</v>
      </c>
      <c r="H101" s="4">
        <v>9995.7</v>
      </c>
      <c r="I101" s="4">
        <v>-9995.7</v>
      </c>
      <c r="J101" s="4">
        <v>50002</v>
      </c>
      <c r="K101" s="4">
        <v>100</v>
      </c>
      <c r="L101" s="4" t="str">
        <f t="shared" si="58"/>
        <v>人民币</v>
      </c>
      <c r="M101" s="4" t="str">
        <f>"1361000679"</f>
        <v>1361000679</v>
      </c>
      <c r="N101" s="4" t="str">
        <f t="shared" si="82"/>
        <v>A368402599</v>
      </c>
      <c r="O101" s="4" t="str">
        <f t="shared" si="59"/>
        <v>300100052893</v>
      </c>
    </row>
    <row r="102" spans="1:15">
      <c r="A102" s="4" t="str">
        <f t="shared" si="84"/>
        <v>20161228</v>
      </c>
      <c r="B102" s="4" t="str">
        <f t="shared" si="85"/>
        <v>20161228</v>
      </c>
      <c r="C102" s="4" t="str">
        <f t="shared" ref="C102:C104" si="86">"融券回购"</f>
        <v>融券回购</v>
      </c>
      <c r="D102" s="4" t="str">
        <f t="shared" ref="D102:D104" si="87">"131811"</f>
        <v>131811</v>
      </c>
      <c r="E102" s="4" t="str">
        <f t="shared" ref="E102:E104" si="88">"Ｒ-002"</f>
        <v>Ｒ-002</v>
      </c>
      <c r="F102" s="4">
        <v>13.265</v>
      </c>
      <c r="G102" s="4">
        <v>300</v>
      </c>
      <c r="H102" s="4">
        <v>30000</v>
      </c>
      <c r="I102" s="4">
        <v>-30000.6</v>
      </c>
      <c r="J102" s="4">
        <v>20001.4</v>
      </c>
      <c r="K102" s="4">
        <v>0</v>
      </c>
      <c r="L102" s="4" t="str">
        <f t="shared" si="58"/>
        <v>人民币</v>
      </c>
      <c r="M102" s="4" t="str">
        <f>"T4005803"</f>
        <v>T4005803</v>
      </c>
      <c r="N102" s="4" t="str">
        <f t="shared" ref="N102:N104" si="89">"0149593788"</f>
        <v>0149593788</v>
      </c>
      <c r="O102" s="4" t="str">
        <f t="shared" si="59"/>
        <v>300100052893</v>
      </c>
    </row>
    <row r="103" spans="1:15">
      <c r="A103" s="4" t="str">
        <f t="shared" si="84"/>
        <v>20161228</v>
      </c>
      <c r="B103" s="4" t="str">
        <f t="shared" si="85"/>
        <v>20161228</v>
      </c>
      <c r="C103" s="4" t="str">
        <f t="shared" si="86"/>
        <v>融券回购</v>
      </c>
      <c r="D103" s="4" t="str">
        <f t="shared" si="87"/>
        <v>131811</v>
      </c>
      <c r="E103" s="4" t="str">
        <f t="shared" si="88"/>
        <v>Ｒ-002</v>
      </c>
      <c r="F103" s="4">
        <v>13.625</v>
      </c>
      <c r="G103" s="4">
        <v>100</v>
      </c>
      <c r="H103" s="4">
        <v>10000</v>
      </c>
      <c r="I103" s="4">
        <v>-10000.2</v>
      </c>
      <c r="J103" s="4">
        <v>10001.2</v>
      </c>
      <c r="K103" s="4">
        <v>0</v>
      </c>
      <c r="L103" s="4" t="str">
        <f t="shared" si="58"/>
        <v>人民币</v>
      </c>
      <c r="M103" s="4" t="str">
        <f>"T4006953"</f>
        <v>T4006953</v>
      </c>
      <c r="N103" s="4" t="str">
        <f t="shared" si="89"/>
        <v>0149593788</v>
      </c>
      <c r="O103" s="4" t="str">
        <f t="shared" si="59"/>
        <v>300100052893</v>
      </c>
    </row>
    <row r="104" spans="1:15">
      <c r="A104" s="4" t="str">
        <f t="shared" si="84"/>
        <v>20161228</v>
      </c>
      <c r="B104" s="4" t="str">
        <f t="shared" si="85"/>
        <v>20161228</v>
      </c>
      <c r="C104" s="4" t="str">
        <f t="shared" si="86"/>
        <v>融券回购</v>
      </c>
      <c r="D104" s="4" t="str">
        <f t="shared" si="87"/>
        <v>131811</v>
      </c>
      <c r="E104" s="4" t="str">
        <f t="shared" si="88"/>
        <v>Ｒ-002</v>
      </c>
      <c r="F104" s="4">
        <v>15</v>
      </c>
      <c r="G104" s="4">
        <v>100</v>
      </c>
      <c r="H104" s="4">
        <v>10000</v>
      </c>
      <c r="I104" s="4">
        <v>-10000.2</v>
      </c>
      <c r="J104" s="4">
        <v>1</v>
      </c>
      <c r="K104" s="4">
        <v>0</v>
      </c>
      <c r="L104" s="4" t="str">
        <f t="shared" si="58"/>
        <v>人民币</v>
      </c>
      <c r="M104" s="4" t="str">
        <f>"T4008037"</f>
        <v>T4008037</v>
      </c>
      <c r="N104" s="4" t="str">
        <f t="shared" si="89"/>
        <v>0149593788</v>
      </c>
      <c r="O104" s="4" t="str">
        <f t="shared" si="59"/>
        <v>300100052893</v>
      </c>
    </row>
    <row r="105" spans="1:15">
      <c r="A105" s="4" t="str">
        <f t="shared" si="84"/>
        <v>20161228</v>
      </c>
      <c r="B105" s="4" t="str">
        <f>"20161227"</f>
        <v>20161227</v>
      </c>
      <c r="C105" s="4" t="str">
        <f>"ETF 申购退款"</f>
        <v>ETF 申购退款</v>
      </c>
      <c r="D105" s="4" t="str">
        <f>"511990"</f>
        <v>511990</v>
      </c>
      <c r="E105" s="4" t="str">
        <f>"华宝添益"</f>
        <v>华宝添益</v>
      </c>
      <c r="F105" s="4">
        <v>0</v>
      </c>
      <c r="G105" s="4">
        <v>0</v>
      </c>
      <c r="H105" s="4">
        <v>10000.88</v>
      </c>
      <c r="I105" s="4">
        <v>10000.88</v>
      </c>
      <c r="J105" s="4">
        <v>10001.88</v>
      </c>
      <c r="K105" s="4">
        <v>0</v>
      </c>
      <c r="L105" s="4" t="str">
        <f t="shared" si="58"/>
        <v>人民币</v>
      </c>
      <c r="N105" s="4" t="str">
        <f t="shared" ref="N105:N108" si="90">"A368402599"</f>
        <v>A368402599</v>
      </c>
      <c r="O105" s="4" t="str">
        <f t="shared" si="59"/>
        <v>300100052893</v>
      </c>
    </row>
    <row r="106" spans="1:15">
      <c r="A106" s="4" t="str">
        <f t="shared" ref="A106:A108" si="91">"20161229"</f>
        <v>20161229</v>
      </c>
      <c r="B106" s="4" t="str">
        <f>"20161229"</f>
        <v>20161229</v>
      </c>
      <c r="C106" s="4" t="str">
        <f>"证券转银行"</f>
        <v>证券转银行</v>
      </c>
      <c r="F106" s="4">
        <v>0</v>
      </c>
      <c r="G106" s="4">
        <v>0</v>
      </c>
      <c r="H106" s="4">
        <v>0</v>
      </c>
      <c r="I106" s="4">
        <v>-10000</v>
      </c>
      <c r="J106" s="4">
        <v>1.88</v>
      </c>
      <c r="K106" s="4">
        <v>0</v>
      </c>
      <c r="L106" s="4" t="str">
        <f t="shared" si="58"/>
        <v>人民币</v>
      </c>
      <c r="O106" s="4" t="str">
        <f t="shared" si="59"/>
        <v>300100052893</v>
      </c>
    </row>
    <row r="107" spans="1:15">
      <c r="A107" s="4" t="str">
        <f t="shared" si="91"/>
        <v>20161229</v>
      </c>
      <c r="B107" s="4" t="str">
        <f t="shared" ref="B107:B112" si="92">"20161228"</f>
        <v>20161228</v>
      </c>
      <c r="C107" s="4" t="str">
        <f>"ETF 基金赎回"</f>
        <v>ETF 基金赎回</v>
      </c>
      <c r="D107" s="4" t="str">
        <f>"511991"</f>
        <v>511991</v>
      </c>
      <c r="E107" s="4" t="str">
        <f>"添益申赎"</f>
        <v>添益申赎</v>
      </c>
      <c r="F107" s="4">
        <v>0</v>
      </c>
      <c r="G107" s="4">
        <v>100</v>
      </c>
      <c r="H107" s="4">
        <v>0</v>
      </c>
      <c r="I107" s="4">
        <v>0</v>
      </c>
      <c r="J107" s="4">
        <v>1.88</v>
      </c>
      <c r="K107" s="4">
        <v>0</v>
      </c>
      <c r="L107" s="4" t="str">
        <f t="shared" si="58"/>
        <v>人民币</v>
      </c>
      <c r="M107" s="4" t="str">
        <f>"1361001710"</f>
        <v>1361001710</v>
      </c>
      <c r="N107" s="4" t="str">
        <f t="shared" si="90"/>
        <v>A368402599</v>
      </c>
      <c r="O107" s="4" t="str">
        <f t="shared" si="59"/>
        <v>300100052893</v>
      </c>
    </row>
    <row r="108" spans="1:15">
      <c r="A108" s="4" t="str">
        <f t="shared" si="91"/>
        <v>20161229</v>
      </c>
      <c r="B108" s="4" t="str">
        <f t="shared" si="92"/>
        <v>20161228</v>
      </c>
      <c r="C108" s="4" t="str">
        <f>"ETF 申购退款"</f>
        <v>ETF 申购退款</v>
      </c>
      <c r="D108" s="4" t="str">
        <f>"511990"</f>
        <v>511990</v>
      </c>
      <c r="E108" s="4" t="str">
        <f>"华宝添益"</f>
        <v>华宝添益</v>
      </c>
      <c r="F108" s="4">
        <v>0</v>
      </c>
      <c r="G108" s="4">
        <v>0</v>
      </c>
      <c r="H108" s="4">
        <v>10000.88</v>
      </c>
      <c r="I108" s="4">
        <v>10000.88</v>
      </c>
      <c r="J108" s="4">
        <v>10002.76</v>
      </c>
      <c r="K108" s="4">
        <v>0</v>
      </c>
      <c r="L108" s="4" t="str">
        <f t="shared" si="58"/>
        <v>人民币</v>
      </c>
      <c r="N108" s="4" t="str">
        <f t="shared" si="90"/>
        <v>A368402599</v>
      </c>
      <c r="O108" s="4" t="str">
        <f t="shared" si="59"/>
        <v>300100052893</v>
      </c>
    </row>
    <row r="109" spans="1:15">
      <c r="A109" s="4" t="str">
        <f t="shared" ref="A109:A112" si="93">"20161230"</f>
        <v>20161230</v>
      </c>
      <c r="B109" s="4" t="str">
        <f>"20161230"</f>
        <v>20161230</v>
      </c>
      <c r="C109" s="4" t="str">
        <f>"基金申购拨出"</f>
        <v>基金申购拨出</v>
      </c>
      <c r="D109" s="4" t="str">
        <f>"AA0007"</f>
        <v>AA0007</v>
      </c>
      <c r="E109" s="4" t="str">
        <f>"银河水星1号集合"</f>
        <v>银河水星1号集合</v>
      </c>
      <c r="F109" s="4">
        <v>0</v>
      </c>
      <c r="G109" s="4">
        <v>0</v>
      </c>
      <c r="H109" s="4">
        <v>0</v>
      </c>
      <c r="I109" s="4">
        <v>-60040.26</v>
      </c>
      <c r="J109" s="4">
        <v>-50037.5</v>
      </c>
      <c r="K109" s="4">
        <v>0</v>
      </c>
      <c r="L109" s="4" t="str">
        <f t="shared" si="58"/>
        <v>人民币</v>
      </c>
      <c r="N109" s="4" t="str">
        <f>"980149593788"</f>
        <v>980149593788</v>
      </c>
      <c r="O109" s="4" t="str">
        <f t="shared" si="59"/>
        <v>300100052893</v>
      </c>
    </row>
    <row r="110" spans="1:15">
      <c r="A110" s="4" t="str">
        <f t="shared" si="93"/>
        <v>20161230</v>
      </c>
      <c r="B110" s="4" t="str">
        <f t="shared" si="92"/>
        <v>20161228</v>
      </c>
      <c r="C110" s="4" t="str">
        <f t="shared" ref="C110:C112" si="94">"融券购回"</f>
        <v>融券购回</v>
      </c>
      <c r="D110" s="4" t="str">
        <f t="shared" ref="D110:D112" si="95">"131811"</f>
        <v>131811</v>
      </c>
      <c r="E110" s="4" t="str">
        <f t="shared" ref="E110:E112" si="96">"Ｒ-002"</f>
        <v>Ｒ-002</v>
      </c>
      <c r="F110" s="4">
        <v>13.265</v>
      </c>
      <c r="G110" s="4">
        <v>300</v>
      </c>
      <c r="H110" s="4">
        <v>30021.81</v>
      </c>
      <c r="I110" s="4">
        <v>30021.81</v>
      </c>
      <c r="J110" s="4">
        <v>-20015.69</v>
      </c>
      <c r="K110" s="4">
        <v>0</v>
      </c>
      <c r="L110" s="4" t="str">
        <f t="shared" si="58"/>
        <v>人民币</v>
      </c>
      <c r="M110" s="4" t="str">
        <f>"T4005803"</f>
        <v>T4005803</v>
      </c>
      <c r="N110" s="4" t="str">
        <f t="shared" ref="N110:N112" si="97">"0149593788"</f>
        <v>0149593788</v>
      </c>
      <c r="O110" s="4" t="str">
        <f t="shared" si="59"/>
        <v>300100052893</v>
      </c>
    </row>
    <row r="111" spans="1:15">
      <c r="A111" s="4" t="str">
        <f t="shared" si="93"/>
        <v>20161230</v>
      </c>
      <c r="B111" s="4" t="str">
        <f t="shared" si="92"/>
        <v>20161228</v>
      </c>
      <c r="C111" s="4" t="str">
        <f t="shared" si="94"/>
        <v>融券购回</v>
      </c>
      <c r="D111" s="4" t="str">
        <f t="shared" si="95"/>
        <v>131811</v>
      </c>
      <c r="E111" s="4" t="str">
        <f t="shared" si="96"/>
        <v>Ｒ-002</v>
      </c>
      <c r="F111" s="4">
        <v>13.625</v>
      </c>
      <c r="G111" s="4">
        <v>100</v>
      </c>
      <c r="H111" s="4">
        <v>10007.47</v>
      </c>
      <c r="I111" s="4">
        <v>10007.47</v>
      </c>
      <c r="J111" s="4">
        <v>-10008.22</v>
      </c>
      <c r="K111" s="4">
        <v>0</v>
      </c>
      <c r="L111" s="4" t="str">
        <f t="shared" si="58"/>
        <v>人民币</v>
      </c>
      <c r="M111" s="4" t="str">
        <f>"T4006953"</f>
        <v>T4006953</v>
      </c>
      <c r="N111" s="4" t="str">
        <f t="shared" si="97"/>
        <v>0149593788</v>
      </c>
      <c r="O111" s="4" t="str">
        <f t="shared" si="59"/>
        <v>300100052893</v>
      </c>
    </row>
    <row r="112" spans="1:15">
      <c r="A112" s="4" t="str">
        <f t="shared" si="93"/>
        <v>20161230</v>
      </c>
      <c r="B112" s="4" t="str">
        <f t="shared" si="92"/>
        <v>20161228</v>
      </c>
      <c r="C112" s="4" t="str">
        <f t="shared" si="94"/>
        <v>融券购回</v>
      </c>
      <c r="D112" s="4" t="str">
        <f t="shared" si="95"/>
        <v>131811</v>
      </c>
      <c r="E112" s="4" t="str">
        <f t="shared" si="96"/>
        <v>Ｒ-002</v>
      </c>
      <c r="F112" s="4">
        <v>15</v>
      </c>
      <c r="G112" s="4">
        <v>100</v>
      </c>
      <c r="H112" s="4">
        <v>10008.22</v>
      </c>
      <c r="I112" s="4">
        <v>10008.22</v>
      </c>
      <c r="J112" s="4">
        <v>0</v>
      </c>
      <c r="K112" s="4">
        <v>0</v>
      </c>
      <c r="L112" s="4" t="str">
        <f t="shared" si="58"/>
        <v>人民币</v>
      </c>
      <c r="M112" s="4" t="str">
        <f>"T4008037"</f>
        <v>T4008037</v>
      </c>
      <c r="N112" s="4" t="str">
        <f t="shared" si="97"/>
        <v>0149593788</v>
      </c>
      <c r="O112" s="4" t="str">
        <f t="shared" si="59"/>
        <v>300100052893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6"/>
  <sheetViews>
    <sheetView topLeftCell="A34" workbookViewId="0">
      <selection activeCell="J86" sqref="J86"/>
    </sheetView>
  </sheetViews>
  <sheetFormatPr defaultColWidth="9" defaultRowHeight="13.5"/>
  <cols>
    <col min="1" max="16384" width="9" style="4"/>
  </cols>
  <sheetData>
    <row r="1" spans="1:15">
      <c r="A1" s="4" t="str">
        <f>"购买日期"</f>
        <v>购买日期</v>
      </c>
      <c r="B1" s="4" t="str">
        <f>"委托日期"</f>
        <v>委托日期</v>
      </c>
      <c r="C1" s="4" t="str">
        <f>"业务类型"</f>
        <v>业务类型</v>
      </c>
      <c r="D1" s="4" t="str">
        <f>"证券代码"</f>
        <v>证券代码</v>
      </c>
      <c r="E1" s="4" t="str">
        <f>"证券名称"</f>
        <v>证券名称</v>
      </c>
      <c r="F1" s="4" t="str">
        <f>"成交价格"</f>
        <v>成交价格</v>
      </c>
      <c r="G1" s="4" t="str">
        <f>"成交数量"</f>
        <v>成交数量</v>
      </c>
      <c r="H1" s="4" t="str">
        <f>"成交金额"</f>
        <v>成交金额</v>
      </c>
      <c r="I1" s="4" t="str">
        <f>"发生金额"</f>
        <v>发生金额</v>
      </c>
      <c r="J1" s="4" t="str">
        <f>"资金余额"</f>
        <v>资金余额</v>
      </c>
      <c r="K1" s="4" t="str">
        <f>"当前持仓"</f>
        <v>当前持仓</v>
      </c>
      <c r="L1" s="4" t="str">
        <f>"币种"</f>
        <v>币种</v>
      </c>
      <c r="M1" s="4" t="str">
        <f>"协议编号"</f>
        <v>协议编号</v>
      </c>
      <c r="N1" s="4" t="str">
        <f>"股东代码"</f>
        <v>股东代码</v>
      </c>
      <c r="O1" s="4" t="str">
        <f>"产品账号"</f>
        <v>产品账号</v>
      </c>
    </row>
    <row r="2" spans="1:15">
      <c r="A2" s="4" t="str">
        <f>"20170104"</f>
        <v>20170104</v>
      </c>
      <c r="B2" s="4" t="str">
        <f>"20170104"</f>
        <v>20170104</v>
      </c>
      <c r="C2" s="4" t="str">
        <f>"基金赎回拨入"</f>
        <v>基金赎回拨入</v>
      </c>
      <c r="D2" s="4" t="str">
        <f t="shared" ref="D2:D6" si="0">"AA0007"</f>
        <v>AA0007</v>
      </c>
      <c r="E2" s="4" t="str">
        <f t="shared" ref="E2:E6" si="1">"银河水星1号集合"</f>
        <v>银河水星1号集合</v>
      </c>
      <c r="F2" s="4">
        <v>0</v>
      </c>
      <c r="G2" s="4">
        <v>10726</v>
      </c>
      <c r="H2" s="4">
        <v>0</v>
      </c>
      <c r="I2" s="4">
        <v>10726</v>
      </c>
      <c r="J2" s="4">
        <v>10726</v>
      </c>
      <c r="K2" s="4">
        <v>0</v>
      </c>
      <c r="L2" s="4" t="str">
        <f t="shared" ref="L2:L65" si="2">"人民币"</f>
        <v>人民币</v>
      </c>
      <c r="N2" s="4" t="str">
        <f t="shared" ref="N2:N6" si="3">"980149593788"</f>
        <v>980149593788</v>
      </c>
      <c r="O2" s="4" t="str">
        <f t="shared" ref="O2:O65" si="4">"300100052893"</f>
        <v>300100052893</v>
      </c>
    </row>
    <row r="3" spans="1:15">
      <c r="A3" s="4" t="str">
        <f>"20170104"</f>
        <v>20170104</v>
      </c>
      <c r="B3" s="4" t="str">
        <f>"20170104"</f>
        <v>20170104</v>
      </c>
      <c r="C3" s="4" t="str">
        <f>"证券买入"</f>
        <v>证券买入</v>
      </c>
      <c r="D3" s="4" t="str">
        <f>"150197"</f>
        <v>150197</v>
      </c>
      <c r="E3" s="4" t="str">
        <f>"有色B"</f>
        <v>有色B</v>
      </c>
      <c r="F3" s="4">
        <v>1.072</v>
      </c>
      <c r="G3" s="4">
        <v>10000</v>
      </c>
      <c r="H3" s="4">
        <v>10720</v>
      </c>
      <c r="I3" s="4">
        <v>-10725</v>
      </c>
      <c r="J3" s="4">
        <v>1</v>
      </c>
      <c r="K3" s="4">
        <v>10000</v>
      </c>
      <c r="L3" s="4" t="str">
        <f t="shared" si="2"/>
        <v>人民币</v>
      </c>
      <c r="M3" s="4" t="str">
        <f>"T4009084"</f>
        <v>T4009084</v>
      </c>
      <c r="N3" s="4" t="str">
        <f>"0149593788"</f>
        <v>0149593788</v>
      </c>
      <c r="O3" s="4" t="str">
        <f t="shared" si="4"/>
        <v>300100052893</v>
      </c>
    </row>
    <row r="4" spans="1:15">
      <c r="A4" s="4" t="str">
        <f>"20170105"</f>
        <v>20170105</v>
      </c>
      <c r="B4" s="4" t="str">
        <f>"20170105"</f>
        <v>20170105</v>
      </c>
      <c r="C4" s="4" t="str">
        <f>"基金申购拨出"</f>
        <v>基金申购拨出</v>
      </c>
      <c r="D4" s="4" t="str">
        <f t="shared" si="0"/>
        <v>AA0007</v>
      </c>
      <c r="E4" s="4" t="str">
        <f t="shared" si="1"/>
        <v>银河水星1号集合</v>
      </c>
      <c r="F4" s="4">
        <v>0</v>
      </c>
      <c r="G4" s="4">
        <v>0</v>
      </c>
      <c r="H4" s="4">
        <v>0</v>
      </c>
      <c r="I4" s="4">
        <v>-11115</v>
      </c>
      <c r="J4" s="4">
        <v>-11114</v>
      </c>
      <c r="K4" s="4">
        <v>0</v>
      </c>
      <c r="L4" s="4" t="str">
        <f t="shared" si="2"/>
        <v>人民币</v>
      </c>
      <c r="N4" s="4" t="str">
        <f t="shared" si="3"/>
        <v>980149593788</v>
      </c>
      <c r="O4" s="4" t="str">
        <f t="shared" si="4"/>
        <v>300100052893</v>
      </c>
    </row>
    <row r="5" spans="1:15">
      <c r="A5" s="4" t="str">
        <f>"20170105"</f>
        <v>20170105</v>
      </c>
      <c r="B5" s="4" t="str">
        <f>"20170105"</f>
        <v>20170105</v>
      </c>
      <c r="C5" s="4" t="str">
        <f>"证券卖出"</f>
        <v>证券卖出</v>
      </c>
      <c r="D5" s="4" t="str">
        <f>"150197"</f>
        <v>150197</v>
      </c>
      <c r="E5" s="4" t="str">
        <f>"有色B"</f>
        <v>有色B</v>
      </c>
      <c r="F5" s="4">
        <v>1.112</v>
      </c>
      <c r="G5" s="4">
        <v>10000</v>
      </c>
      <c r="H5" s="4">
        <v>11120</v>
      </c>
      <c r="I5" s="4">
        <v>11115</v>
      </c>
      <c r="J5" s="4">
        <v>1</v>
      </c>
      <c r="K5" s="4">
        <v>0</v>
      </c>
      <c r="L5" s="4" t="str">
        <f t="shared" si="2"/>
        <v>人民币</v>
      </c>
      <c r="M5" s="4" t="str">
        <f>"T4012270"</f>
        <v>T4012270</v>
      </c>
      <c r="N5" s="4" t="str">
        <f>"0149593788"</f>
        <v>0149593788</v>
      </c>
      <c r="O5" s="4" t="str">
        <f t="shared" si="4"/>
        <v>300100052893</v>
      </c>
    </row>
    <row r="6" spans="1:15">
      <c r="A6" s="4" t="str">
        <f>"20170106"</f>
        <v>20170106</v>
      </c>
      <c r="B6" s="4" t="str">
        <f>"20170106"</f>
        <v>20170106</v>
      </c>
      <c r="C6" s="4" t="str">
        <f>"基金申购拨出"</f>
        <v>基金申购拨出</v>
      </c>
      <c r="D6" s="4" t="str">
        <f t="shared" si="0"/>
        <v>AA0007</v>
      </c>
      <c r="E6" s="4" t="str">
        <f t="shared" si="1"/>
        <v>银河水星1号集合</v>
      </c>
      <c r="F6" s="4">
        <v>0</v>
      </c>
      <c r="G6" s="4">
        <v>0</v>
      </c>
      <c r="H6" s="4">
        <v>0</v>
      </c>
      <c r="I6" s="4">
        <v>-16902.48</v>
      </c>
      <c r="J6" s="4">
        <v>-16901.48</v>
      </c>
      <c r="K6" s="4">
        <v>0</v>
      </c>
      <c r="L6" s="4" t="str">
        <f t="shared" si="2"/>
        <v>人民币</v>
      </c>
      <c r="N6" s="4" t="str">
        <f t="shared" si="3"/>
        <v>980149593788</v>
      </c>
      <c r="O6" s="4" t="str">
        <f t="shared" si="4"/>
        <v>300100052893</v>
      </c>
    </row>
    <row r="7" spans="1:15">
      <c r="A7" s="4" t="str">
        <f>"20170106"</f>
        <v>20170106</v>
      </c>
      <c r="B7" s="4" t="str">
        <f>"20170106"</f>
        <v>20170106</v>
      </c>
      <c r="C7" s="4" t="str">
        <f>"证券卖出"</f>
        <v>证券卖出</v>
      </c>
      <c r="D7" s="4" t="str">
        <f>"600886"</f>
        <v>600886</v>
      </c>
      <c r="E7" s="4" t="str">
        <f>"国投电力"</f>
        <v>国投电力</v>
      </c>
      <c r="F7" s="4">
        <v>6.77</v>
      </c>
      <c r="G7" s="4">
        <v>2500</v>
      </c>
      <c r="H7" s="4">
        <v>16925</v>
      </c>
      <c r="I7" s="4">
        <v>16902.48</v>
      </c>
      <c r="J7" s="4">
        <v>1</v>
      </c>
      <c r="K7" s="4">
        <v>2500</v>
      </c>
      <c r="L7" s="4" t="str">
        <f t="shared" si="2"/>
        <v>人民币</v>
      </c>
      <c r="M7" s="4" t="str">
        <f>"1361008555"</f>
        <v>1361008555</v>
      </c>
      <c r="N7" s="4" t="str">
        <f>"A368402599"</f>
        <v>A368402599</v>
      </c>
      <c r="O7" s="4" t="str">
        <f t="shared" si="4"/>
        <v>300100052893</v>
      </c>
    </row>
    <row r="8" spans="1:15">
      <c r="A8" s="4" t="str">
        <f>"20170109"</f>
        <v>20170109</v>
      </c>
      <c r="B8" s="4" t="str">
        <f>"20170109"</f>
        <v>20170109</v>
      </c>
      <c r="C8" s="4" t="str">
        <f>"基金赎回拨入"</f>
        <v>基金赎回拨入</v>
      </c>
      <c r="D8" s="4" t="str">
        <f t="shared" ref="D8:D12" si="5">"AA0007"</f>
        <v>AA0007</v>
      </c>
      <c r="E8" s="4" t="str">
        <f t="shared" ref="E8:E12" si="6">"银河水星1号集合"</f>
        <v>银河水星1号集合</v>
      </c>
      <c r="F8" s="4">
        <v>0</v>
      </c>
      <c r="G8" s="4">
        <v>17585</v>
      </c>
      <c r="H8" s="4">
        <v>0</v>
      </c>
      <c r="I8" s="4">
        <v>17585.8</v>
      </c>
      <c r="J8" s="4">
        <v>17586.8</v>
      </c>
      <c r="K8" s="4">
        <v>0</v>
      </c>
      <c r="L8" s="4" t="str">
        <f t="shared" si="2"/>
        <v>人民币</v>
      </c>
      <c r="N8" s="4" t="str">
        <f t="shared" ref="N8:N12" si="7">"980149593788"</f>
        <v>980149593788</v>
      </c>
      <c r="O8" s="4" t="str">
        <f t="shared" si="4"/>
        <v>300100052893</v>
      </c>
    </row>
    <row r="9" spans="1:15">
      <c r="A9" s="4" t="str">
        <f>"20170109"</f>
        <v>20170109</v>
      </c>
      <c r="B9" s="4" t="str">
        <f>"20170109"</f>
        <v>20170109</v>
      </c>
      <c r="C9" s="4" t="str">
        <f>"证券买入"</f>
        <v>证券买入</v>
      </c>
      <c r="D9" s="4" t="str">
        <f>"600297"</f>
        <v>600297</v>
      </c>
      <c r="E9" s="4" t="str">
        <f>"广汇汽车"</f>
        <v>广汇汽车</v>
      </c>
      <c r="F9" s="4">
        <v>8.79</v>
      </c>
      <c r="G9" s="4">
        <v>2000</v>
      </c>
      <c r="H9" s="4">
        <v>17580</v>
      </c>
      <c r="I9" s="4">
        <v>-17585.8</v>
      </c>
      <c r="J9" s="4">
        <v>1</v>
      </c>
      <c r="K9" s="4">
        <v>2000</v>
      </c>
      <c r="L9" s="4" t="str">
        <f t="shared" si="2"/>
        <v>人民币</v>
      </c>
      <c r="M9" s="4" t="str">
        <f>"1361009900"</f>
        <v>1361009900</v>
      </c>
      <c r="N9" s="4" t="str">
        <f>"A368402599"</f>
        <v>A368402599</v>
      </c>
      <c r="O9" s="4" t="str">
        <f t="shared" si="4"/>
        <v>300100052893</v>
      </c>
    </row>
    <row r="10" spans="1:15">
      <c r="A10" s="4" t="str">
        <f>"20170111"</f>
        <v>20170111</v>
      </c>
      <c r="B10" s="4" t="str">
        <f>"20170111"</f>
        <v>20170111</v>
      </c>
      <c r="C10" s="4" t="str">
        <f>"基金申购拨出"</f>
        <v>基金申购拨出</v>
      </c>
      <c r="D10" s="4" t="str">
        <f t="shared" si="5"/>
        <v>AA0007</v>
      </c>
      <c r="E10" s="4" t="str">
        <f t="shared" si="6"/>
        <v>银河水星1号集合</v>
      </c>
      <c r="F10" s="4">
        <v>0</v>
      </c>
      <c r="G10" s="4">
        <v>0</v>
      </c>
      <c r="H10" s="4">
        <v>0</v>
      </c>
      <c r="I10" s="4">
        <v>-15030.9</v>
      </c>
      <c r="J10" s="4">
        <v>-15029.9</v>
      </c>
      <c r="K10" s="4">
        <v>0</v>
      </c>
      <c r="L10" s="4" t="str">
        <f t="shared" si="2"/>
        <v>人民币</v>
      </c>
      <c r="N10" s="4" t="str">
        <f t="shared" si="7"/>
        <v>980149593788</v>
      </c>
      <c r="O10" s="4" t="str">
        <f t="shared" si="4"/>
        <v>300100052893</v>
      </c>
    </row>
    <row r="11" spans="1:15">
      <c r="A11" s="4" t="str">
        <f>"20170111"</f>
        <v>20170111</v>
      </c>
      <c r="B11" s="4" t="str">
        <f>"20170111"</f>
        <v>20170111</v>
      </c>
      <c r="C11" s="4" t="str">
        <f t="shared" ref="C11:C16" si="8">"证券卖出"</f>
        <v>证券卖出</v>
      </c>
      <c r="D11" s="4" t="str">
        <f>"000601"</f>
        <v>000601</v>
      </c>
      <c r="E11" s="4" t="str">
        <f>"韶能股份"</f>
        <v>韶能股份</v>
      </c>
      <c r="F11" s="4">
        <v>8.63</v>
      </c>
      <c r="G11" s="4">
        <v>3000</v>
      </c>
      <c r="H11" s="4">
        <v>25890</v>
      </c>
      <c r="I11" s="4">
        <v>25856.08</v>
      </c>
      <c r="J11" s="4">
        <v>10826.18</v>
      </c>
      <c r="K11" s="4">
        <v>3400</v>
      </c>
      <c r="L11" s="4" t="str">
        <f t="shared" si="2"/>
        <v>人民币</v>
      </c>
      <c r="M11" s="4" t="str">
        <f>"T4008064"</f>
        <v>T4008064</v>
      </c>
      <c r="N11" s="4" t="str">
        <f>"0149593788"</f>
        <v>0149593788</v>
      </c>
      <c r="O11" s="4" t="str">
        <f t="shared" si="4"/>
        <v>300100052893</v>
      </c>
    </row>
    <row r="12" spans="1:15">
      <c r="A12" s="4" t="str">
        <f>"20170116"</f>
        <v>20170116</v>
      </c>
      <c r="B12" s="4" t="str">
        <f>"20170116"</f>
        <v>20170116</v>
      </c>
      <c r="C12" s="4" t="str">
        <f>"基金赎回拨入"</f>
        <v>基金赎回拨入</v>
      </c>
      <c r="D12" s="4" t="str">
        <f t="shared" si="5"/>
        <v>AA0007</v>
      </c>
      <c r="E12" s="4" t="str">
        <f t="shared" si="6"/>
        <v>银河水星1号集合</v>
      </c>
      <c r="F12" s="4">
        <v>0</v>
      </c>
      <c r="G12" s="4">
        <v>24393</v>
      </c>
      <c r="H12" s="4">
        <v>0</v>
      </c>
      <c r="I12" s="4">
        <v>24393.79</v>
      </c>
      <c r="J12" s="4">
        <v>24733.66</v>
      </c>
      <c r="K12" s="4">
        <v>0</v>
      </c>
      <c r="L12" s="4" t="str">
        <f t="shared" si="2"/>
        <v>人民币</v>
      </c>
      <c r="N12" s="4" t="str">
        <f t="shared" si="7"/>
        <v>980149593788</v>
      </c>
      <c r="O12" s="4" t="str">
        <f t="shared" si="4"/>
        <v>300100052893</v>
      </c>
    </row>
    <row r="13" spans="1:15">
      <c r="A13" s="4" t="str">
        <f>"20170116"</f>
        <v>20170116</v>
      </c>
      <c r="B13" s="4" t="str">
        <f>"20170116"</f>
        <v>20170116</v>
      </c>
      <c r="C13" s="4" t="str">
        <f>"证券买入"</f>
        <v>证券买入</v>
      </c>
      <c r="D13" s="4" t="str">
        <f>"000601"</f>
        <v>000601</v>
      </c>
      <c r="E13" s="4" t="str">
        <f>"韶能股份"</f>
        <v>韶能股份</v>
      </c>
      <c r="F13" s="4">
        <v>8.24</v>
      </c>
      <c r="G13" s="4">
        <v>3000</v>
      </c>
      <c r="H13" s="4">
        <v>24720</v>
      </c>
      <c r="I13" s="4">
        <v>-24727.66</v>
      </c>
      <c r="J13" s="4">
        <v>6</v>
      </c>
      <c r="K13" s="4">
        <v>6400</v>
      </c>
      <c r="L13" s="4" t="str">
        <f t="shared" si="2"/>
        <v>人民币</v>
      </c>
      <c r="M13" s="4" t="str">
        <f>"T4004927"</f>
        <v>T4004927</v>
      </c>
      <c r="N13" s="4" t="str">
        <f t="shared" ref="N13:N18" si="9">"0149593788"</f>
        <v>0149593788</v>
      </c>
      <c r="O13" s="4" t="str">
        <f t="shared" si="4"/>
        <v>300100052893</v>
      </c>
    </row>
    <row r="14" spans="1:15">
      <c r="A14" s="4" t="str">
        <f t="shared" ref="A14:A18" si="10">"20170119"</f>
        <v>20170119</v>
      </c>
      <c r="B14" s="4" t="str">
        <f t="shared" ref="B14:B18" si="11">"20170119"</f>
        <v>20170119</v>
      </c>
      <c r="C14" s="4" t="str">
        <f>"基金赎回拨入"</f>
        <v>基金赎回拨入</v>
      </c>
      <c r="D14" s="4" t="str">
        <f>"AA0007"</f>
        <v>AA0007</v>
      </c>
      <c r="E14" s="4" t="str">
        <f>"银河水星1号集合"</f>
        <v>银河水星1号集合</v>
      </c>
      <c r="F14" s="4">
        <v>0</v>
      </c>
      <c r="G14" s="4">
        <v>60896</v>
      </c>
      <c r="H14" s="4">
        <v>0</v>
      </c>
      <c r="I14" s="4">
        <v>60896.75</v>
      </c>
      <c r="J14" s="4">
        <v>60902.7</v>
      </c>
      <c r="K14" s="4">
        <v>0</v>
      </c>
      <c r="L14" s="4" t="str">
        <f t="shared" si="2"/>
        <v>人民币</v>
      </c>
      <c r="N14" s="4" t="str">
        <f>"980149593788"</f>
        <v>980149593788</v>
      </c>
      <c r="O14" s="4" t="str">
        <f t="shared" si="4"/>
        <v>300100052893</v>
      </c>
    </row>
    <row r="15" spans="1:15">
      <c r="A15" s="4" t="str">
        <f t="shared" si="10"/>
        <v>20170119</v>
      </c>
      <c r="B15" s="4" t="str">
        <f t="shared" si="11"/>
        <v>20170119</v>
      </c>
      <c r="C15" s="4" t="str">
        <f t="shared" si="8"/>
        <v>证券卖出</v>
      </c>
      <c r="D15" s="4" t="str">
        <f>"600297"</f>
        <v>600297</v>
      </c>
      <c r="E15" s="4" t="str">
        <f>"广汇汽车"</f>
        <v>广汇汽车</v>
      </c>
      <c r="F15" s="4">
        <v>9.42</v>
      </c>
      <c r="G15" s="4">
        <v>2000</v>
      </c>
      <c r="H15" s="4">
        <v>18840</v>
      </c>
      <c r="I15" s="4">
        <v>18814.94</v>
      </c>
      <c r="J15" s="4">
        <v>79717.64</v>
      </c>
      <c r="K15" s="4">
        <v>0</v>
      </c>
      <c r="L15" s="4" t="str">
        <f t="shared" si="2"/>
        <v>人民币</v>
      </c>
      <c r="M15" s="4" t="str">
        <f>"1361003419"</f>
        <v>1361003419</v>
      </c>
      <c r="N15" s="4" t="str">
        <f>"A368402599"</f>
        <v>A368402599</v>
      </c>
      <c r="O15" s="4" t="str">
        <f t="shared" si="4"/>
        <v>300100052893</v>
      </c>
    </row>
    <row r="16" spans="1:15">
      <c r="A16" s="4" t="str">
        <f t="shared" si="10"/>
        <v>20170119</v>
      </c>
      <c r="B16" s="4" t="str">
        <f t="shared" si="11"/>
        <v>20170119</v>
      </c>
      <c r="C16" s="4" t="str">
        <f t="shared" si="8"/>
        <v>证券卖出</v>
      </c>
      <c r="D16" s="4" t="str">
        <f>"600886"</f>
        <v>600886</v>
      </c>
      <c r="E16" s="4" t="str">
        <f>"国投电力"</f>
        <v>国投电力</v>
      </c>
      <c r="F16" s="4">
        <v>6.84</v>
      </c>
      <c r="G16" s="4">
        <v>2500</v>
      </c>
      <c r="H16" s="4">
        <v>17100</v>
      </c>
      <c r="I16" s="4">
        <v>17077.26</v>
      </c>
      <c r="J16" s="4">
        <v>96794.9</v>
      </c>
      <c r="K16" s="4">
        <v>0</v>
      </c>
      <c r="L16" s="4" t="str">
        <f t="shared" si="2"/>
        <v>人民币</v>
      </c>
      <c r="M16" s="4" t="str">
        <f>"1361004464"</f>
        <v>1361004464</v>
      </c>
      <c r="N16" s="4" t="str">
        <f>"A368402599"</f>
        <v>A368402599</v>
      </c>
      <c r="O16" s="4" t="str">
        <f t="shared" si="4"/>
        <v>300100052893</v>
      </c>
    </row>
    <row r="17" spans="1:15">
      <c r="A17" s="4" t="str">
        <f t="shared" si="10"/>
        <v>20170119</v>
      </c>
      <c r="B17" s="4" t="str">
        <f t="shared" si="11"/>
        <v>20170119</v>
      </c>
      <c r="C17" s="4" t="str">
        <f>"证券买入"</f>
        <v>证券买入</v>
      </c>
      <c r="D17" s="4" t="str">
        <f>"150197"</f>
        <v>150197</v>
      </c>
      <c r="E17" s="4" t="str">
        <f>"有色B"</f>
        <v>有色B</v>
      </c>
      <c r="F17" s="4">
        <v>1.014</v>
      </c>
      <c r="G17" s="4">
        <v>10000</v>
      </c>
      <c r="H17" s="4">
        <v>10140</v>
      </c>
      <c r="I17" s="4">
        <v>-10145</v>
      </c>
      <c r="J17" s="4">
        <v>86649.9</v>
      </c>
      <c r="K17" s="4">
        <v>10000</v>
      </c>
      <c r="L17" s="4" t="str">
        <f t="shared" si="2"/>
        <v>人民币</v>
      </c>
      <c r="M17" s="4" t="str">
        <f>"T4008858"</f>
        <v>T4008858</v>
      </c>
      <c r="N17" s="4" t="str">
        <f t="shared" si="9"/>
        <v>0149593788</v>
      </c>
      <c r="O17" s="4" t="str">
        <f t="shared" si="4"/>
        <v>300100052893</v>
      </c>
    </row>
    <row r="18" spans="1:15">
      <c r="A18" s="4" t="str">
        <f t="shared" si="10"/>
        <v>20170119</v>
      </c>
      <c r="B18" s="4" t="str">
        <f t="shared" si="11"/>
        <v>20170119</v>
      </c>
      <c r="C18" s="4" t="str">
        <f>"融券回购"</f>
        <v>融券回购</v>
      </c>
      <c r="D18" s="4" t="str">
        <f>"131810"</f>
        <v>131810</v>
      </c>
      <c r="E18" s="4" t="str">
        <f>"Ｒ-001"</f>
        <v>Ｒ-001</v>
      </c>
      <c r="F18" s="4">
        <v>14.88</v>
      </c>
      <c r="G18" s="4">
        <v>860</v>
      </c>
      <c r="H18" s="4">
        <v>86000</v>
      </c>
      <c r="I18" s="4">
        <v>-86000.86</v>
      </c>
      <c r="J18" s="4">
        <v>649.04</v>
      </c>
      <c r="K18" s="4">
        <v>0</v>
      </c>
      <c r="L18" s="4" t="str">
        <f t="shared" si="2"/>
        <v>人民币</v>
      </c>
      <c r="M18" s="4" t="str">
        <f>"T4015986"</f>
        <v>T4015986</v>
      </c>
      <c r="N18" s="4" t="str">
        <f t="shared" si="9"/>
        <v>0149593788</v>
      </c>
      <c r="O18" s="4" t="str">
        <f t="shared" si="4"/>
        <v>300100052893</v>
      </c>
    </row>
    <row r="19" spans="1:15">
      <c r="A19" s="4" t="str">
        <f>"20170120"</f>
        <v>20170120</v>
      </c>
      <c r="B19" s="4" t="str">
        <f>"20170120"</f>
        <v>20170120</v>
      </c>
      <c r="C19" s="4" t="str">
        <f>"基金申购拨出"</f>
        <v>基金申购拨出</v>
      </c>
      <c r="D19" s="4" t="str">
        <f t="shared" ref="D19:D23" si="12">"AA0007"</f>
        <v>AA0007</v>
      </c>
      <c r="E19" s="4" t="str">
        <f t="shared" ref="E19:E23" si="13">"银河水星1号集合"</f>
        <v>银河水星1号集合</v>
      </c>
      <c r="F19" s="4">
        <v>0</v>
      </c>
      <c r="G19" s="4">
        <v>0</v>
      </c>
      <c r="H19" s="4">
        <v>0</v>
      </c>
      <c r="I19" s="4">
        <v>-86679.09</v>
      </c>
      <c r="J19" s="4">
        <v>-86030.06</v>
      </c>
      <c r="K19" s="4">
        <v>0</v>
      </c>
      <c r="L19" s="4" t="str">
        <f t="shared" si="2"/>
        <v>人民币</v>
      </c>
      <c r="N19" s="4" t="str">
        <f t="shared" ref="N19:N23" si="14">"980149593788"</f>
        <v>980149593788</v>
      </c>
      <c r="O19" s="4" t="str">
        <f t="shared" si="4"/>
        <v>300100052893</v>
      </c>
    </row>
    <row r="20" spans="1:15">
      <c r="A20" s="4" t="str">
        <f>"20170120"</f>
        <v>20170120</v>
      </c>
      <c r="B20" s="4" t="str">
        <f>"20170119"</f>
        <v>20170119</v>
      </c>
      <c r="C20" s="4" t="str">
        <f>"融券购回"</f>
        <v>融券购回</v>
      </c>
      <c r="D20" s="4" t="str">
        <f>"131810"</f>
        <v>131810</v>
      </c>
      <c r="E20" s="4" t="str">
        <f>"Ｒ-001"</f>
        <v>Ｒ-001</v>
      </c>
      <c r="F20" s="4">
        <v>14.88</v>
      </c>
      <c r="G20" s="4">
        <v>860</v>
      </c>
      <c r="H20" s="4">
        <v>86035.06</v>
      </c>
      <c r="I20" s="4">
        <v>86035.06</v>
      </c>
      <c r="J20" s="4">
        <v>5</v>
      </c>
      <c r="K20" s="4">
        <v>0</v>
      </c>
      <c r="L20" s="4" t="str">
        <f t="shared" si="2"/>
        <v>人民币</v>
      </c>
      <c r="M20" s="4" t="str">
        <f>"T4015986"</f>
        <v>T4015986</v>
      </c>
      <c r="N20" s="4" t="str">
        <f t="shared" ref="N20:N25" si="15">"0149593788"</f>
        <v>0149593788</v>
      </c>
      <c r="O20" s="4" t="str">
        <f t="shared" si="4"/>
        <v>300100052893</v>
      </c>
    </row>
    <row r="21" spans="1:15">
      <c r="A21" s="4" t="str">
        <f>"20170123"</f>
        <v>20170123</v>
      </c>
      <c r="B21" s="4" t="str">
        <f>"20170123"</f>
        <v>20170123</v>
      </c>
      <c r="C21" s="4" t="str">
        <f t="shared" ref="C21:C23" si="16">"基金赎回拨入"</f>
        <v>基金赎回拨入</v>
      </c>
      <c r="D21" s="4" t="str">
        <f t="shared" si="12"/>
        <v>AA0007</v>
      </c>
      <c r="E21" s="4" t="str">
        <f t="shared" si="13"/>
        <v>银河水星1号集合</v>
      </c>
      <c r="F21" s="4">
        <v>0</v>
      </c>
      <c r="G21" s="4">
        <v>0</v>
      </c>
      <c r="H21" s="4">
        <v>0</v>
      </c>
      <c r="I21" s="4">
        <v>0.01</v>
      </c>
      <c r="J21" s="4">
        <v>5</v>
      </c>
      <c r="K21" s="4">
        <v>0</v>
      </c>
      <c r="L21" s="4" t="str">
        <f t="shared" si="2"/>
        <v>人民币</v>
      </c>
      <c r="N21" s="4" t="str">
        <f t="shared" si="14"/>
        <v>980149593788</v>
      </c>
      <c r="O21" s="4" t="str">
        <f t="shared" si="4"/>
        <v>300100052893</v>
      </c>
    </row>
    <row r="22" spans="1:15">
      <c r="A22" s="4" t="str">
        <f>"20170124"</f>
        <v>20170124</v>
      </c>
      <c r="B22" s="4" t="str">
        <f>"20170124"</f>
        <v>20170124</v>
      </c>
      <c r="C22" s="4" t="str">
        <f t="shared" si="16"/>
        <v>基金赎回拨入</v>
      </c>
      <c r="D22" s="4" t="str">
        <f t="shared" si="12"/>
        <v>AA0007</v>
      </c>
      <c r="E22" s="4" t="str">
        <f t="shared" si="13"/>
        <v>银河水星1号集合</v>
      </c>
      <c r="F22" s="4">
        <v>0</v>
      </c>
      <c r="G22" s="4">
        <v>0</v>
      </c>
      <c r="H22" s="4">
        <v>0</v>
      </c>
      <c r="I22" s="4">
        <v>0.03</v>
      </c>
      <c r="J22" s="4">
        <v>5</v>
      </c>
      <c r="K22" s="4">
        <v>0</v>
      </c>
      <c r="L22" s="4" t="str">
        <f t="shared" si="2"/>
        <v>人民币</v>
      </c>
      <c r="N22" s="4" t="str">
        <f t="shared" si="14"/>
        <v>980149593788</v>
      </c>
      <c r="O22" s="4" t="str">
        <f t="shared" si="4"/>
        <v>300100052893</v>
      </c>
    </row>
    <row r="23" spans="1:15">
      <c r="A23" s="4" t="str">
        <f t="shared" ref="A23:A25" si="17">"20170125"</f>
        <v>20170125</v>
      </c>
      <c r="B23" s="4" t="str">
        <f t="shared" ref="B23:B25" si="18">"20170125"</f>
        <v>20170125</v>
      </c>
      <c r="C23" s="4" t="str">
        <f t="shared" si="16"/>
        <v>基金赎回拨入</v>
      </c>
      <c r="D23" s="4" t="str">
        <f t="shared" si="12"/>
        <v>AA0007</v>
      </c>
      <c r="E23" s="4" t="str">
        <f t="shared" si="13"/>
        <v>银河水星1号集合</v>
      </c>
      <c r="F23" s="4">
        <v>0</v>
      </c>
      <c r="G23" s="4">
        <v>86679</v>
      </c>
      <c r="H23" s="4">
        <v>0</v>
      </c>
      <c r="I23" s="4">
        <v>86679.05</v>
      </c>
      <c r="J23" s="4">
        <v>86684.04</v>
      </c>
      <c r="K23" s="4">
        <v>0</v>
      </c>
      <c r="L23" s="4" t="str">
        <f t="shared" si="2"/>
        <v>人民币</v>
      </c>
      <c r="N23" s="4" t="str">
        <f t="shared" si="14"/>
        <v>980149593788</v>
      </c>
      <c r="O23" s="4" t="str">
        <f t="shared" si="4"/>
        <v>300100052893</v>
      </c>
    </row>
    <row r="24" spans="1:15">
      <c r="A24" s="4" t="str">
        <f t="shared" si="17"/>
        <v>20170125</v>
      </c>
      <c r="B24" s="4" t="str">
        <f t="shared" si="18"/>
        <v>20170125</v>
      </c>
      <c r="C24" s="4" t="str">
        <f>"证券卖出"</f>
        <v>证券卖出</v>
      </c>
      <c r="D24" s="4" t="str">
        <f>"150197"</f>
        <v>150197</v>
      </c>
      <c r="E24" s="4" t="str">
        <f>"有色B"</f>
        <v>有色B</v>
      </c>
      <c r="F24" s="4">
        <v>1.101</v>
      </c>
      <c r="G24" s="4">
        <v>10000</v>
      </c>
      <c r="H24" s="4">
        <v>11010</v>
      </c>
      <c r="I24" s="4">
        <v>11005</v>
      </c>
      <c r="J24" s="4">
        <v>97689.04</v>
      </c>
      <c r="K24" s="4">
        <v>0</v>
      </c>
      <c r="L24" s="4" t="str">
        <f t="shared" si="2"/>
        <v>人民币</v>
      </c>
      <c r="M24" s="4" t="str">
        <f>"T4007215"</f>
        <v>T4007215</v>
      </c>
      <c r="N24" s="4" t="str">
        <f t="shared" si="15"/>
        <v>0149593788</v>
      </c>
      <c r="O24" s="4" t="str">
        <f t="shared" si="4"/>
        <v>300100052893</v>
      </c>
    </row>
    <row r="25" spans="1:15">
      <c r="A25" s="4" t="str">
        <f t="shared" si="17"/>
        <v>20170125</v>
      </c>
      <c r="B25" s="4" t="str">
        <f t="shared" si="18"/>
        <v>20170125</v>
      </c>
      <c r="C25" s="4" t="str">
        <f>"融券回购"</f>
        <v>融券回购</v>
      </c>
      <c r="D25" s="4" t="str">
        <f>"131810"</f>
        <v>131810</v>
      </c>
      <c r="E25" s="4" t="str">
        <f>"Ｒ-001"</f>
        <v>Ｒ-001</v>
      </c>
      <c r="F25" s="4">
        <v>16.2</v>
      </c>
      <c r="G25" s="4">
        <v>970</v>
      </c>
      <c r="H25" s="4">
        <v>97000</v>
      </c>
      <c r="I25" s="4">
        <v>-97000.97</v>
      </c>
      <c r="J25" s="4">
        <v>688.07</v>
      </c>
      <c r="K25" s="4">
        <v>0</v>
      </c>
      <c r="L25" s="4" t="str">
        <f t="shared" si="2"/>
        <v>人民币</v>
      </c>
      <c r="M25" s="4" t="str">
        <f>"T4009450"</f>
        <v>T4009450</v>
      </c>
      <c r="N25" s="4" t="str">
        <f t="shared" si="15"/>
        <v>0149593788</v>
      </c>
      <c r="O25" s="4" t="str">
        <f t="shared" si="4"/>
        <v>300100052893</v>
      </c>
    </row>
    <row r="26" spans="1:15">
      <c r="A26" s="4" t="str">
        <f>"20170126"</f>
        <v>20170126</v>
      </c>
      <c r="B26" s="4" t="str">
        <f>"20170126"</f>
        <v>20170126</v>
      </c>
      <c r="C26" s="4" t="str">
        <f>"基金申购拨出"</f>
        <v>基金申购拨出</v>
      </c>
      <c r="D26" s="4" t="str">
        <f t="shared" ref="D26:D36" si="19">"AA0007"</f>
        <v>AA0007</v>
      </c>
      <c r="E26" s="4" t="str">
        <f t="shared" ref="E26:E36" si="20">"银河水星1号集合"</f>
        <v>银河水星1号集合</v>
      </c>
      <c r="F26" s="4">
        <v>0</v>
      </c>
      <c r="G26" s="4">
        <v>0</v>
      </c>
      <c r="H26" s="4">
        <v>0</v>
      </c>
      <c r="I26" s="4">
        <v>-97726.11</v>
      </c>
      <c r="J26" s="4">
        <v>-97038.05</v>
      </c>
      <c r="K26" s="4">
        <v>0</v>
      </c>
      <c r="L26" s="4" t="str">
        <f t="shared" si="2"/>
        <v>人民币</v>
      </c>
      <c r="N26" s="4" t="str">
        <f t="shared" ref="N26:N36" si="21">"980149593788"</f>
        <v>980149593788</v>
      </c>
      <c r="O26" s="4" t="str">
        <f t="shared" si="4"/>
        <v>300100052893</v>
      </c>
    </row>
    <row r="27" spans="1:15">
      <c r="A27" s="4" t="str">
        <f>"20170126"</f>
        <v>20170126</v>
      </c>
      <c r="B27" s="4" t="str">
        <f>"20170125"</f>
        <v>20170125</v>
      </c>
      <c r="C27" s="4" t="str">
        <f>"融券购回"</f>
        <v>融券购回</v>
      </c>
      <c r="D27" s="4" t="str">
        <f>"131810"</f>
        <v>131810</v>
      </c>
      <c r="E27" s="4" t="str">
        <f>"Ｒ-001"</f>
        <v>Ｒ-001</v>
      </c>
      <c r="F27" s="4">
        <v>16.2</v>
      </c>
      <c r="G27" s="4">
        <v>970</v>
      </c>
      <c r="H27" s="4">
        <v>97043.05</v>
      </c>
      <c r="I27" s="4">
        <v>97043.05</v>
      </c>
      <c r="J27" s="4">
        <v>5</v>
      </c>
      <c r="K27" s="4">
        <v>0</v>
      </c>
      <c r="L27" s="4" t="str">
        <f t="shared" si="2"/>
        <v>人民币</v>
      </c>
      <c r="M27" s="4" t="str">
        <f>"T4009450"</f>
        <v>T4009450</v>
      </c>
      <c r="N27" s="4" t="str">
        <f>"0149593788"</f>
        <v>0149593788</v>
      </c>
      <c r="O27" s="4" t="str">
        <f t="shared" si="4"/>
        <v>300100052893</v>
      </c>
    </row>
    <row r="28" spans="1:15">
      <c r="A28" s="4" t="str">
        <f>"20170203"</f>
        <v>20170203</v>
      </c>
      <c r="B28" s="4" t="str">
        <f>"20170203"</f>
        <v>20170203</v>
      </c>
      <c r="C28" s="4" t="str">
        <f t="shared" ref="C28:C36" si="22">"基金赎回拨入"</f>
        <v>基金赎回拨入</v>
      </c>
      <c r="D28" s="4" t="str">
        <f t="shared" si="19"/>
        <v>AA0007</v>
      </c>
      <c r="E28" s="4" t="str">
        <f t="shared" si="20"/>
        <v>银河水星1号集合</v>
      </c>
      <c r="F28" s="4">
        <v>0</v>
      </c>
      <c r="G28" s="4">
        <v>0</v>
      </c>
      <c r="H28" s="4">
        <v>0</v>
      </c>
      <c r="I28" s="4">
        <v>0.01</v>
      </c>
      <c r="J28" s="4">
        <v>5</v>
      </c>
      <c r="K28" s="4">
        <v>0</v>
      </c>
      <c r="L28" s="4" t="str">
        <f t="shared" si="2"/>
        <v>人民币</v>
      </c>
      <c r="N28" s="4" t="str">
        <f t="shared" si="21"/>
        <v>980149593788</v>
      </c>
      <c r="O28" s="4" t="str">
        <f t="shared" si="4"/>
        <v>300100052893</v>
      </c>
    </row>
    <row r="29" spans="1:15">
      <c r="A29" s="4" t="str">
        <f>"20170206"</f>
        <v>20170206</v>
      </c>
      <c r="B29" s="4" t="str">
        <f>"20170206"</f>
        <v>20170206</v>
      </c>
      <c r="C29" s="4" t="str">
        <f t="shared" si="22"/>
        <v>基金赎回拨入</v>
      </c>
      <c r="D29" s="4" t="str">
        <f t="shared" si="19"/>
        <v>AA0007</v>
      </c>
      <c r="E29" s="4" t="str">
        <f t="shared" si="20"/>
        <v>银河水星1号集合</v>
      </c>
      <c r="F29" s="4">
        <v>0</v>
      </c>
      <c r="G29" s="4">
        <v>0</v>
      </c>
      <c r="H29" s="4">
        <v>0</v>
      </c>
      <c r="I29" s="4">
        <v>0.07</v>
      </c>
      <c r="J29" s="4">
        <v>5</v>
      </c>
      <c r="K29" s="4">
        <v>0</v>
      </c>
      <c r="L29" s="4" t="str">
        <f t="shared" si="2"/>
        <v>人民币</v>
      </c>
      <c r="N29" s="4" t="str">
        <f t="shared" si="21"/>
        <v>980149593788</v>
      </c>
      <c r="O29" s="4" t="str">
        <f t="shared" si="4"/>
        <v>300100052893</v>
      </c>
    </row>
    <row r="30" spans="1:15">
      <c r="A30" s="4" t="str">
        <f>"20170207"</f>
        <v>20170207</v>
      </c>
      <c r="B30" s="4" t="str">
        <f>"20170207"</f>
        <v>20170207</v>
      </c>
      <c r="C30" s="4" t="str">
        <f t="shared" si="22"/>
        <v>基金赎回拨入</v>
      </c>
      <c r="D30" s="4" t="str">
        <f t="shared" si="19"/>
        <v>AA0007</v>
      </c>
      <c r="E30" s="4" t="str">
        <f t="shared" si="20"/>
        <v>银河水星1号集合</v>
      </c>
      <c r="F30" s="4">
        <v>0</v>
      </c>
      <c r="G30" s="4">
        <v>0</v>
      </c>
      <c r="H30" s="4">
        <v>0</v>
      </c>
      <c r="I30" s="4">
        <v>0.03</v>
      </c>
      <c r="J30" s="4">
        <v>5</v>
      </c>
      <c r="K30" s="4">
        <v>0</v>
      </c>
      <c r="L30" s="4" t="str">
        <f t="shared" si="2"/>
        <v>人民币</v>
      </c>
      <c r="N30" s="4" t="str">
        <f t="shared" si="21"/>
        <v>980149593788</v>
      </c>
      <c r="O30" s="4" t="str">
        <f t="shared" si="4"/>
        <v>300100052893</v>
      </c>
    </row>
    <row r="31" spans="1:15">
      <c r="A31" s="4" t="str">
        <f>"20170208"</f>
        <v>20170208</v>
      </c>
      <c r="B31" s="4" t="str">
        <f>"20170208"</f>
        <v>20170208</v>
      </c>
      <c r="C31" s="4" t="str">
        <f t="shared" si="22"/>
        <v>基金赎回拨入</v>
      </c>
      <c r="D31" s="4" t="str">
        <f t="shared" si="19"/>
        <v>AA0007</v>
      </c>
      <c r="E31" s="4" t="str">
        <f t="shared" si="20"/>
        <v>银河水星1号集合</v>
      </c>
      <c r="F31" s="4">
        <v>0</v>
      </c>
      <c r="G31" s="4">
        <v>0</v>
      </c>
      <c r="H31" s="4">
        <v>0</v>
      </c>
      <c r="I31" s="4">
        <v>0.01</v>
      </c>
      <c r="J31" s="4">
        <v>5</v>
      </c>
      <c r="K31" s="4">
        <v>0</v>
      </c>
      <c r="L31" s="4" t="str">
        <f t="shared" si="2"/>
        <v>人民币</v>
      </c>
      <c r="N31" s="4" t="str">
        <f t="shared" si="21"/>
        <v>980149593788</v>
      </c>
      <c r="O31" s="4" t="str">
        <f t="shared" si="4"/>
        <v>300100052893</v>
      </c>
    </row>
    <row r="32" spans="1:15">
      <c r="A32" s="4" t="str">
        <f>"20170209"</f>
        <v>20170209</v>
      </c>
      <c r="B32" s="4" t="str">
        <f>"20170209"</f>
        <v>20170209</v>
      </c>
      <c r="C32" s="4" t="str">
        <f t="shared" si="22"/>
        <v>基金赎回拨入</v>
      </c>
      <c r="D32" s="4" t="str">
        <f t="shared" si="19"/>
        <v>AA0007</v>
      </c>
      <c r="E32" s="4" t="str">
        <f t="shared" si="20"/>
        <v>银河水星1号集合</v>
      </c>
      <c r="F32" s="4">
        <v>0</v>
      </c>
      <c r="G32" s="4">
        <v>0</v>
      </c>
      <c r="H32" s="4">
        <v>0</v>
      </c>
      <c r="I32" s="4">
        <v>0.01</v>
      </c>
      <c r="J32" s="4">
        <v>5</v>
      </c>
      <c r="K32" s="4">
        <v>0</v>
      </c>
      <c r="L32" s="4" t="str">
        <f t="shared" si="2"/>
        <v>人民币</v>
      </c>
      <c r="N32" s="4" t="str">
        <f t="shared" si="21"/>
        <v>980149593788</v>
      </c>
      <c r="O32" s="4" t="str">
        <f t="shared" si="4"/>
        <v>300100052893</v>
      </c>
    </row>
    <row r="33" spans="1:15">
      <c r="A33" s="4" t="str">
        <f>"20170210"</f>
        <v>20170210</v>
      </c>
      <c r="B33" s="4" t="str">
        <f>"20170210"</f>
        <v>20170210</v>
      </c>
      <c r="C33" s="4" t="str">
        <f t="shared" si="22"/>
        <v>基金赎回拨入</v>
      </c>
      <c r="D33" s="4" t="str">
        <f t="shared" si="19"/>
        <v>AA0007</v>
      </c>
      <c r="E33" s="4" t="str">
        <f t="shared" si="20"/>
        <v>银河水星1号集合</v>
      </c>
      <c r="F33" s="4">
        <v>0</v>
      </c>
      <c r="G33" s="4">
        <v>0</v>
      </c>
      <c r="H33" s="4">
        <v>0</v>
      </c>
      <c r="I33" s="4">
        <v>0.01</v>
      </c>
      <c r="J33" s="4">
        <v>5</v>
      </c>
      <c r="K33" s="4">
        <v>0</v>
      </c>
      <c r="L33" s="4" t="str">
        <f t="shared" si="2"/>
        <v>人民币</v>
      </c>
      <c r="N33" s="4" t="str">
        <f t="shared" si="21"/>
        <v>980149593788</v>
      </c>
      <c r="O33" s="4" t="str">
        <f t="shared" si="4"/>
        <v>300100052893</v>
      </c>
    </row>
    <row r="34" spans="1:15">
      <c r="A34" s="4" t="str">
        <f>"20170213"</f>
        <v>20170213</v>
      </c>
      <c r="B34" s="4" t="str">
        <f>"20170213"</f>
        <v>20170213</v>
      </c>
      <c r="C34" s="4" t="str">
        <f t="shared" si="22"/>
        <v>基金赎回拨入</v>
      </c>
      <c r="D34" s="4" t="str">
        <f t="shared" si="19"/>
        <v>AA0007</v>
      </c>
      <c r="E34" s="4" t="str">
        <f t="shared" si="20"/>
        <v>银河水星1号集合</v>
      </c>
      <c r="F34" s="4">
        <v>0</v>
      </c>
      <c r="G34" s="4">
        <v>0</v>
      </c>
      <c r="H34" s="4">
        <v>0</v>
      </c>
      <c r="I34" s="4">
        <v>0.01</v>
      </c>
      <c r="J34" s="4">
        <v>5</v>
      </c>
      <c r="K34" s="4">
        <v>0</v>
      </c>
      <c r="L34" s="4" t="str">
        <f t="shared" si="2"/>
        <v>人民币</v>
      </c>
      <c r="N34" s="4" t="str">
        <f t="shared" si="21"/>
        <v>980149593788</v>
      </c>
      <c r="O34" s="4" t="str">
        <f t="shared" si="4"/>
        <v>300100052893</v>
      </c>
    </row>
    <row r="35" spans="1:15">
      <c r="A35" s="4" t="str">
        <f>"20170214"</f>
        <v>20170214</v>
      </c>
      <c r="B35" s="4" t="str">
        <f>"20170214"</f>
        <v>20170214</v>
      </c>
      <c r="C35" s="4" t="str">
        <f t="shared" si="22"/>
        <v>基金赎回拨入</v>
      </c>
      <c r="D35" s="4" t="str">
        <f t="shared" si="19"/>
        <v>AA0007</v>
      </c>
      <c r="E35" s="4" t="str">
        <f t="shared" si="20"/>
        <v>银河水星1号集合</v>
      </c>
      <c r="F35" s="4">
        <v>0</v>
      </c>
      <c r="G35" s="4">
        <v>0</v>
      </c>
      <c r="H35" s="4">
        <v>0</v>
      </c>
      <c r="I35" s="4">
        <v>0.03</v>
      </c>
      <c r="J35" s="4">
        <v>5</v>
      </c>
      <c r="K35" s="4">
        <v>0</v>
      </c>
      <c r="L35" s="4" t="str">
        <f t="shared" si="2"/>
        <v>人民币</v>
      </c>
      <c r="N35" s="4" t="str">
        <f t="shared" si="21"/>
        <v>980149593788</v>
      </c>
      <c r="O35" s="4" t="str">
        <f t="shared" si="4"/>
        <v>300100052893</v>
      </c>
    </row>
    <row r="36" spans="1:15">
      <c r="A36" s="4" t="str">
        <f>"20170215"</f>
        <v>20170215</v>
      </c>
      <c r="B36" s="4" t="str">
        <f>"20170215"</f>
        <v>20170215</v>
      </c>
      <c r="C36" s="4" t="str">
        <f t="shared" si="22"/>
        <v>基金赎回拨入</v>
      </c>
      <c r="D36" s="4" t="str">
        <f t="shared" si="19"/>
        <v>AA0007</v>
      </c>
      <c r="E36" s="4" t="str">
        <f t="shared" si="20"/>
        <v>银河水星1号集合</v>
      </c>
      <c r="F36" s="4">
        <v>0</v>
      </c>
      <c r="G36" s="4">
        <v>24938</v>
      </c>
      <c r="H36" s="4">
        <v>0</v>
      </c>
      <c r="I36" s="4">
        <v>24938.74</v>
      </c>
      <c r="J36" s="4">
        <v>24943.73</v>
      </c>
      <c r="K36" s="4">
        <v>0</v>
      </c>
      <c r="L36" s="4" t="str">
        <f t="shared" si="2"/>
        <v>人民币</v>
      </c>
      <c r="N36" s="4" t="str">
        <f t="shared" si="21"/>
        <v>980149593788</v>
      </c>
      <c r="O36" s="4" t="str">
        <f t="shared" si="4"/>
        <v>300100052893</v>
      </c>
    </row>
    <row r="37" spans="1:15">
      <c r="A37" s="4" t="str">
        <f>"20170215"</f>
        <v>20170215</v>
      </c>
      <c r="B37" s="4" t="str">
        <f>"20170215"</f>
        <v>20170215</v>
      </c>
      <c r="C37" s="4" t="str">
        <f>"证券买入"</f>
        <v>证券买入</v>
      </c>
      <c r="D37" s="4" t="str">
        <f>"000601"</f>
        <v>000601</v>
      </c>
      <c r="E37" s="4" t="str">
        <f>"韶能股份"</f>
        <v>韶能股份</v>
      </c>
      <c r="F37" s="4">
        <v>8.31</v>
      </c>
      <c r="G37" s="4">
        <v>3000</v>
      </c>
      <c r="H37" s="4">
        <v>24930</v>
      </c>
      <c r="I37" s="4">
        <v>-24937.73</v>
      </c>
      <c r="J37" s="4">
        <v>6</v>
      </c>
      <c r="K37" s="4">
        <v>9400</v>
      </c>
      <c r="L37" s="4" t="str">
        <f t="shared" si="2"/>
        <v>人民币</v>
      </c>
      <c r="M37" s="4" t="str">
        <f>"T4002071"</f>
        <v>T4002071</v>
      </c>
      <c r="N37" s="4" t="str">
        <f t="shared" ref="N37:N41" si="23">"0149593788"</f>
        <v>0149593788</v>
      </c>
      <c r="O37" s="4" t="str">
        <f t="shared" si="4"/>
        <v>300100052893</v>
      </c>
    </row>
    <row r="38" spans="1:15">
      <c r="A38" s="4" t="str">
        <f>"20170216"</f>
        <v>20170216</v>
      </c>
      <c r="B38" s="4" t="str">
        <f>"20170216"</f>
        <v>20170216</v>
      </c>
      <c r="C38" s="4" t="str">
        <f>"基金申购拨出"</f>
        <v>基金申购拨出</v>
      </c>
      <c r="D38" s="4" t="str">
        <f t="shared" ref="D38:D42" si="24">"AA0007"</f>
        <v>AA0007</v>
      </c>
      <c r="E38" s="4" t="str">
        <f t="shared" ref="E38:E42" si="25">"银河水星1号集合"</f>
        <v>银河水星1号集合</v>
      </c>
      <c r="F38" s="4">
        <v>0</v>
      </c>
      <c r="G38" s="4">
        <v>0</v>
      </c>
      <c r="H38" s="4">
        <v>0</v>
      </c>
      <c r="I38" s="4">
        <v>-10925.17</v>
      </c>
      <c r="J38" s="4">
        <v>-10919.18</v>
      </c>
      <c r="K38" s="4">
        <v>0</v>
      </c>
      <c r="L38" s="4" t="str">
        <f t="shared" si="2"/>
        <v>人民币</v>
      </c>
      <c r="N38" s="4" t="str">
        <f t="shared" ref="N38:N42" si="26">"980149593788"</f>
        <v>980149593788</v>
      </c>
      <c r="O38" s="4" t="str">
        <f t="shared" si="4"/>
        <v>300100052893</v>
      </c>
    </row>
    <row r="39" spans="1:15">
      <c r="A39" s="4" t="str">
        <f t="shared" ref="A39:A41" si="27">"20170217"</f>
        <v>20170217</v>
      </c>
      <c r="B39" s="4" t="str">
        <f t="shared" ref="B39:B41" si="28">"20170217"</f>
        <v>20170217</v>
      </c>
      <c r="C39" s="4" t="str">
        <f>"基金赎回拨入"</f>
        <v>基金赎回拨入</v>
      </c>
      <c r="D39" s="4" t="str">
        <f t="shared" si="24"/>
        <v>AA0007</v>
      </c>
      <c r="E39" s="4" t="str">
        <f t="shared" si="25"/>
        <v>银河水星1号集合</v>
      </c>
      <c r="F39" s="4">
        <v>0</v>
      </c>
      <c r="G39" s="4">
        <v>111</v>
      </c>
      <c r="H39" s="4">
        <v>0</v>
      </c>
      <c r="I39" s="4">
        <v>111.03</v>
      </c>
      <c r="J39" s="4">
        <v>116.02</v>
      </c>
      <c r="K39" s="4">
        <v>0</v>
      </c>
      <c r="L39" s="4" t="str">
        <f t="shared" si="2"/>
        <v>人民币</v>
      </c>
      <c r="N39" s="4" t="str">
        <f t="shared" si="26"/>
        <v>980149593788</v>
      </c>
      <c r="O39" s="4" t="str">
        <f t="shared" si="4"/>
        <v>300100052893</v>
      </c>
    </row>
    <row r="40" spans="1:15">
      <c r="A40" s="4" t="str">
        <f t="shared" si="27"/>
        <v>20170217</v>
      </c>
      <c r="B40" s="4" t="str">
        <f t="shared" si="28"/>
        <v>20170217</v>
      </c>
      <c r="C40" s="4" t="str">
        <f>"证券买入"</f>
        <v>证券买入</v>
      </c>
      <c r="D40" s="4" t="str">
        <f>"002183"</f>
        <v>002183</v>
      </c>
      <c r="E40" s="4" t="str">
        <f>"怡 亚 通"</f>
        <v>怡 亚 通</v>
      </c>
      <c r="F40" s="4">
        <v>10.84</v>
      </c>
      <c r="G40" s="4">
        <v>2000</v>
      </c>
      <c r="H40" s="4">
        <v>21680</v>
      </c>
      <c r="I40" s="4">
        <v>-21686.72</v>
      </c>
      <c r="J40" s="4">
        <v>-21570.7</v>
      </c>
      <c r="K40" s="4">
        <v>7000</v>
      </c>
      <c r="L40" s="4" t="str">
        <f t="shared" si="2"/>
        <v>人民币</v>
      </c>
      <c r="M40" s="4" t="str">
        <f>"T4000747"</f>
        <v>T4000747</v>
      </c>
      <c r="N40" s="4" t="str">
        <f t="shared" si="23"/>
        <v>0149593788</v>
      </c>
      <c r="O40" s="4" t="str">
        <f t="shared" si="4"/>
        <v>300100052893</v>
      </c>
    </row>
    <row r="41" spans="1:15">
      <c r="A41" s="4" t="str">
        <f t="shared" si="27"/>
        <v>20170217</v>
      </c>
      <c r="B41" s="4" t="str">
        <f t="shared" si="28"/>
        <v>20170217</v>
      </c>
      <c r="C41" s="4" t="str">
        <f>"证券卖出"</f>
        <v>证券卖出</v>
      </c>
      <c r="D41" s="4" t="str">
        <f>"002183"</f>
        <v>002183</v>
      </c>
      <c r="E41" s="4" t="str">
        <f>"怡 亚 通"</f>
        <v>怡 亚 通</v>
      </c>
      <c r="F41" s="4">
        <v>10.8</v>
      </c>
      <c r="G41" s="4">
        <v>2000</v>
      </c>
      <c r="H41" s="4">
        <v>21600</v>
      </c>
      <c r="I41" s="4">
        <v>21571.7</v>
      </c>
      <c r="J41" s="4">
        <v>1</v>
      </c>
      <c r="K41" s="4">
        <v>5000</v>
      </c>
      <c r="L41" s="4" t="str">
        <f t="shared" si="2"/>
        <v>人民币</v>
      </c>
      <c r="M41" s="4" t="str">
        <f>"T4003903"</f>
        <v>T4003903</v>
      </c>
      <c r="N41" s="4" t="str">
        <f t="shared" si="23"/>
        <v>0149593788</v>
      </c>
      <c r="O41" s="4" t="str">
        <f t="shared" si="4"/>
        <v>300100052893</v>
      </c>
    </row>
    <row r="42" spans="1:15">
      <c r="A42" s="4" t="str">
        <f>"20170220"</f>
        <v>20170220</v>
      </c>
      <c r="B42" s="4" t="str">
        <f>"20170220"</f>
        <v>20170220</v>
      </c>
      <c r="C42" s="4" t="str">
        <f>"基金申购拨出"</f>
        <v>基金申购拨出</v>
      </c>
      <c r="D42" s="4" t="str">
        <f t="shared" si="24"/>
        <v>AA0007</v>
      </c>
      <c r="E42" s="4" t="str">
        <f t="shared" si="25"/>
        <v>银河水星1号集合</v>
      </c>
      <c r="F42" s="4">
        <v>0</v>
      </c>
      <c r="G42" s="4">
        <v>0</v>
      </c>
      <c r="H42" s="4">
        <v>0</v>
      </c>
      <c r="I42" s="4">
        <v>-24687.62</v>
      </c>
      <c r="J42" s="4">
        <v>-24686.62</v>
      </c>
      <c r="K42" s="4">
        <v>0</v>
      </c>
      <c r="L42" s="4" t="str">
        <f t="shared" si="2"/>
        <v>人民币</v>
      </c>
      <c r="N42" s="4" t="str">
        <f t="shared" si="26"/>
        <v>980149593788</v>
      </c>
      <c r="O42" s="4" t="str">
        <f t="shared" si="4"/>
        <v>300100052893</v>
      </c>
    </row>
    <row r="43" spans="1:15">
      <c r="A43" s="4" t="str">
        <f>"20170220"</f>
        <v>20170220</v>
      </c>
      <c r="B43" s="4" t="str">
        <f>"20170220"</f>
        <v>20170220</v>
      </c>
      <c r="C43" s="4" t="str">
        <f>"证券卖出"</f>
        <v>证券卖出</v>
      </c>
      <c r="D43" s="4" t="str">
        <f>"000601"</f>
        <v>000601</v>
      </c>
      <c r="E43" s="4" t="str">
        <f>"韶能股份"</f>
        <v>韶能股份</v>
      </c>
      <c r="F43" s="4">
        <v>8.24</v>
      </c>
      <c r="G43" s="4">
        <v>3000</v>
      </c>
      <c r="H43" s="4">
        <v>24720</v>
      </c>
      <c r="I43" s="4">
        <v>24687.62</v>
      </c>
      <c r="J43" s="4">
        <v>1</v>
      </c>
      <c r="K43" s="4">
        <v>6400</v>
      </c>
      <c r="L43" s="4" t="str">
        <f t="shared" si="2"/>
        <v>人民币</v>
      </c>
      <c r="M43" s="4" t="str">
        <f>"T4002157"</f>
        <v>T4002157</v>
      </c>
      <c r="N43" s="4" t="str">
        <f t="shared" ref="N43:N47" si="29">"0149593788"</f>
        <v>0149593788</v>
      </c>
      <c r="O43" s="4" t="str">
        <f t="shared" si="4"/>
        <v>300100052893</v>
      </c>
    </row>
    <row r="44" spans="1:15">
      <c r="A44" s="4" t="str">
        <f>"20170227"</f>
        <v>20170227</v>
      </c>
      <c r="B44" s="4" t="str">
        <f>"20170227"</f>
        <v>20170227</v>
      </c>
      <c r="C44" s="4" t="str">
        <f>"基金赎回拨入"</f>
        <v>基金赎回拨入</v>
      </c>
      <c r="D44" s="4" t="str">
        <f t="shared" ref="D44:D49" si="30">"AA0007"</f>
        <v>AA0007</v>
      </c>
      <c r="E44" s="4" t="str">
        <f t="shared" ref="E44:E49" si="31">"银河水星1号集合"</f>
        <v>银河水星1号集合</v>
      </c>
      <c r="F44" s="4">
        <v>0</v>
      </c>
      <c r="G44" s="4">
        <v>24727</v>
      </c>
      <c r="H44" s="4">
        <v>0</v>
      </c>
      <c r="I44" s="4">
        <v>24727.66</v>
      </c>
      <c r="J44" s="4">
        <v>24728.66</v>
      </c>
      <c r="K44" s="4">
        <v>0</v>
      </c>
      <c r="L44" s="4" t="str">
        <f t="shared" si="2"/>
        <v>人民币</v>
      </c>
      <c r="N44" s="4" t="str">
        <f t="shared" ref="N44:N49" si="32">"980149593788"</f>
        <v>980149593788</v>
      </c>
      <c r="O44" s="4" t="str">
        <f t="shared" si="4"/>
        <v>300100052893</v>
      </c>
    </row>
    <row r="45" spans="1:15">
      <c r="A45" s="4" t="str">
        <f>"20170227"</f>
        <v>20170227</v>
      </c>
      <c r="B45" s="4" t="str">
        <f>"20170227"</f>
        <v>20170227</v>
      </c>
      <c r="C45" s="4" t="str">
        <f>"证券买入"</f>
        <v>证券买入</v>
      </c>
      <c r="D45" s="4" t="str">
        <f>"000601"</f>
        <v>000601</v>
      </c>
      <c r="E45" s="4" t="str">
        <f>"韶能股份"</f>
        <v>韶能股份</v>
      </c>
      <c r="F45" s="4">
        <v>8.24</v>
      </c>
      <c r="G45" s="4">
        <v>3000</v>
      </c>
      <c r="H45" s="4">
        <v>24720</v>
      </c>
      <c r="I45" s="4">
        <v>-24727.66</v>
      </c>
      <c r="J45" s="4">
        <v>1</v>
      </c>
      <c r="K45" s="4">
        <v>9400</v>
      </c>
      <c r="L45" s="4" t="str">
        <f t="shared" si="2"/>
        <v>人民币</v>
      </c>
      <c r="M45" s="4" t="str">
        <f>"T4001660"</f>
        <v>T4001660</v>
      </c>
      <c r="N45" s="4" t="str">
        <f t="shared" si="29"/>
        <v>0149593788</v>
      </c>
      <c r="O45" s="4" t="str">
        <f t="shared" si="4"/>
        <v>300100052893</v>
      </c>
    </row>
    <row r="46" spans="1:15">
      <c r="A46" s="4" t="str">
        <f>"20170313"</f>
        <v>20170313</v>
      </c>
      <c r="B46" s="4" t="str">
        <f>"20170313"</f>
        <v>20170313</v>
      </c>
      <c r="C46" s="4" t="str">
        <f>"基金申购拨出"</f>
        <v>基金申购拨出</v>
      </c>
      <c r="D46" s="4" t="str">
        <f t="shared" si="30"/>
        <v>AA0007</v>
      </c>
      <c r="E46" s="4" t="str">
        <f t="shared" si="31"/>
        <v>银河水星1号集合</v>
      </c>
      <c r="F46" s="4">
        <v>0</v>
      </c>
      <c r="G46" s="4">
        <v>0</v>
      </c>
      <c r="H46" s="4">
        <v>0</v>
      </c>
      <c r="I46" s="4">
        <v>-21312.04</v>
      </c>
      <c r="J46" s="4">
        <v>-21311.04</v>
      </c>
      <c r="K46" s="4">
        <v>0</v>
      </c>
      <c r="L46" s="4" t="str">
        <f t="shared" si="2"/>
        <v>人民币</v>
      </c>
      <c r="N46" s="4" t="str">
        <f t="shared" si="32"/>
        <v>980149593788</v>
      </c>
      <c r="O46" s="4" t="str">
        <f t="shared" si="4"/>
        <v>300100052893</v>
      </c>
    </row>
    <row r="47" spans="1:15">
      <c r="A47" s="4" t="str">
        <f>"20170313"</f>
        <v>20170313</v>
      </c>
      <c r="B47" s="4" t="str">
        <f>"20170313"</f>
        <v>20170313</v>
      </c>
      <c r="C47" s="4" t="str">
        <f>"证券卖出"</f>
        <v>证券卖出</v>
      </c>
      <c r="D47" s="4" t="str">
        <f>"002543"</f>
        <v>002543</v>
      </c>
      <c r="E47" s="4" t="str">
        <f>"万和电气"</f>
        <v>万和电气</v>
      </c>
      <c r="F47" s="4">
        <v>21.34</v>
      </c>
      <c r="G47" s="4">
        <v>1000</v>
      </c>
      <c r="H47" s="4">
        <v>21340</v>
      </c>
      <c r="I47" s="4">
        <v>21312.04</v>
      </c>
      <c r="J47" s="4">
        <v>1</v>
      </c>
      <c r="K47" s="4">
        <v>0</v>
      </c>
      <c r="L47" s="4" t="str">
        <f t="shared" si="2"/>
        <v>人民币</v>
      </c>
      <c r="M47" s="4" t="str">
        <f>"T4014233"</f>
        <v>T4014233</v>
      </c>
      <c r="N47" s="4" t="str">
        <f t="shared" si="29"/>
        <v>0149593788</v>
      </c>
      <c r="O47" s="4" t="str">
        <f t="shared" si="4"/>
        <v>300100052893</v>
      </c>
    </row>
    <row r="48" spans="1:15">
      <c r="A48" s="4" t="str">
        <f>"20170316"</f>
        <v>20170316</v>
      </c>
      <c r="B48" s="4" t="str">
        <f>"20170316"</f>
        <v>20170316</v>
      </c>
      <c r="C48" s="4" t="str">
        <f>"基金赎回拨入"</f>
        <v>基金赎回拨入</v>
      </c>
      <c r="D48" s="4" t="str">
        <f t="shared" si="30"/>
        <v>AA0007</v>
      </c>
      <c r="E48" s="4" t="str">
        <f t="shared" si="31"/>
        <v>银河水星1号集合</v>
      </c>
      <c r="F48" s="4">
        <v>0</v>
      </c>
      <c r="G48" s="4">
        <v>100001</v>
      </c>
      <c r="H48" s="4">
        <v>0</v>
      </c>
      <c r="I48" s="4">
        <v>100001</v>
      </c>
      <c r="J48" s="4">
        <v>100002</v>
      </c>
      <c r="K48" s="4">
        <v>0</v>
      </c>
      <c r="L48" s="4" t="str">
        <f t="shared" si="2"/>
        <v>人民币</v>
      </c>
      <c r="N48" s="4" t="str">
        <f t="shared" si="32"/>
        <v>980149593788</v>
      </c>
      <c r="O48" s="4" t="str">
        <f t="shared" si="4"/>
        <v>300100052893</v>
      </c>
    </row>
    <row r="49" spans="1:15">
      <c r="A49" s="4" t="str">
        <f>"20170317"</f>
        <v>20170317</v>
      </c>
      <c r="B49" s="4" t="str">
        <f>"20170317"</f>
        <v>20170317</v>
      </c>
      <c r="C49" s="4" t="str">
        <f>"基金申购拨出"</f>
        <v>基金申购拨出</v>
      </c>
      <c r="D49" s="4" t="str">
        <f t="shared" si="30"/>
        <v>AA0007</v>
      </c>
      <c r="E49" s="4" t="str">
        <f t="shared" si="31"/>
        <v>银河水星1号集合</v>
      </c>
      <c r="F49" s="4">
        <v>0</v>
      </c>
      <c r="G49" s="4">
        <v>0</v>
      </c>
      <c r="H49" s="4">
        <v>0</v>
      </c>
      <c r="I49" s="4">
        <v>-100002</v>
      </c>
      <c r="J49" s="4">
        <v>0</v>
      </c>
      <c r="K49" s="4">
        <v>0</v>
      </c>
      <c r="L49" s="4" t="str">
        <f t="shared" si="2"/>
        <v>人民币</v>
      </c>
      <c r="N49" s="4" t="str">
        <f t="shared" si="32"/>
        <v>980149593788</v>
      </c>
      <c r="O49" s="4" t="str">
        <f t="shared" si="4"/>
        <v>300100052893</v>
      </c>
    </row>
    <row r="50" spans="1:15">
      <c r="A50" s="4" t="str">
        <f>"20170320"</f>
        <v>20170320</v>
      </c>
      <c r="B50" s="4" t="str">
        <f>"20170320"</f>
        <v>20170320</v>
      </c>
      <c r="C50" s="4" t="str">
        <f>"利息归本"</f>
        <v>利息归本</v>
      </c>
      <c r="F50" s="4">
        <v>0</v>
      </c>
      <c r="G50" s="4">
        <v>0</v>
      </c>
      <c r="H50" s="4">
        <v>0</v>
      </c>
      <c r="I50" s="4">
        <v>4.56</v>
      </c>
      <c r="J50" s="4">
        <v>4.56</v>
      </c>
      <c r="K50" s="4">
        <v>0</v>
      </c>
      <c r="L50" s="4" t="str">
        <f t="shared" si="2"/>
        <v>人民币</v>
      </c>
      <c r="O50" s="4" t="str">
        <f t="shared" si="4"/>
        <v>300100052893</v>
      </c>
    </row>
    <row r="51" spans="1:15">
      <c r="A51" s="4" t="str">
        <f>"20170322"</f>
        <v>20170322</v>
      </c>
      <c r="B51" s="4" t="str">
        <f>"0"</f>
        <v>0</v>
      </c>
      <c r="C51" s="4" t="str">
        <f>"基金红利拨入"</f>
        <v>基金红利拨入</v>
      </c>
      <c r="D51" s="4" t="str">
        <f t="shared" ref="D51:D54" si="33">"AA0007"</f>
        <v>AA0007</v>
      </c>
      <c r="E51" s="4" t="str">
        <f t="shared" ref="E51:E54" si="34">"银河水星1号集合"</f>
        <v>银河水星1号集合</v>
      </c>
      <c r="F51" s="4">
        <v>0</v>
      </c>
      <c r="G51" s="4">
        <v>0</v>
      </c>
      <c r="H51" s="4">
        <v>325.11</v>
      </c>
      <c r="I51" s="4">
        <v>325.11</v>
      </c>
      <c r="J51" s="4">
        <v>329.67</v>
      </c>
      <c r="K51" s="4">
        <v>0</v>
      </c>
      <c r="L51" s="4" t="str">
        <f t="shared" si="2"/>
        <v>人民币</v>
      </c>
      <c r="N51" s="4" t="str">
        <f t="shared" ref="N51:N54" si="35">"980149593788"</f>
        <v>980149593788</v>
      </c>
      <c r="O51" s="4" t="str">
        <f t="shared" si="4"/>
        <v>300100052893</v>
      </c>
    </row>
    <row r="52" spans="1:15">
      <c r="A52" s="4" t="str">
        <f>"20170323"</f>
        <v>20170323</v>
      </c>
      <c r="B52" s="4" t="str">
        <f>"20170323"</f>
        <v>20170323</v>
      </c>
      <c r="C52" s="4" t="str">
        <f t="shared" ref="C52:C56" si="36">"基金赎回拨入"</f>
        <v>基金赎回拨入</v>
      </c>
      <c r="D52" s="4" t="str">
        <f t="shared" si="33"/>
        <v>AA0007</v>
      </c>
      <c r="E52" s="4" t="str">
        <f t="shared" si="34"/>
        <v>银河水星1号集合</v>
      </c>
      <c r="F52" s="4">
        <v>0</v>
      </c>
      <c r="G52" s="4">
        <v>24819</v>
      </c>
      <c r="H52" s="4">
        <v>0</v>
      </c>
      <c r="I52" s="4">
        <v>24819.12</v>
      </c>
      <c r="J52" s="4">
        <v>25148.79</v>
      </c>
      <c r="K52" s="4">
        <v>0</v>
      </c>
      <c r="L52" s="4" t="str">
        <f t="shared" si="2"/>
        <v>人民币</v>
      </c>
      <c r="N52" s="4" t="str">
        <f t="shared" si="35"/>
        <v>980149593788</v>
      </c>
      <c r="O52" s="4" t="str">
        <f t="shared" si="4"/>
        <v>300100052893</v>
      </c>
    </row>
    <row r="53" spans="1:15">
      <c r="A53" s="4" t="str">
        <f>"20170323"</f>
        <v>20170323</v>
      </c>
      <c r="B53" s="4" t="str">
        <f>"20170323"</f>
        <v>20170323</v>
      </c>
      <c r="C53" s="4" t="str">
        <f t="shared" ref="C53:C57" si="37">"证券买入"</f>
        <v>证券买入</v>
      </c>
      <c r="D53" s="4" t="str">
        <f>"000601"</f>
        <v>000601</v>
      </c>
      <c r="E53" s="4" t="str">
        <f>"韶能股份"</f>
        <v>韶能股份</v>
      </c>
      <c r="F53" s="4">
        <v>8.38</v>
      </c>
      <c r="G53" s="4">
        <v>3000</v>
      </c>
      <c r="H53" s="4">
        <v>25140</v>
      </c>
      <c r="I53" s="4">
        <v>-25147.79</v>
      </c>
      <c r="J53" s="4">
        <v>1</v>
      </c>
      <c r="K53" s="4">
        <v>12400</v>
      </c>
      <c r="L53" s="4" t="str">
        <f t="shared" si="2"/>
        <v>人民币</v>
      </c>
      <c r="M53" s="4" t="str">
        <f>"T4011628"</f>
        <v>T4011628</v>
      </c>
      <c r="N53" s="4" t="str">
        <f t="shared" ref="N53:N60" si="38">"0149593788"</f>
        <v>0149593788</v>
      </c>
      <c r="O53" s="4" t="str">
        <f t="shared" si="4"/>
        <v>300100052893</v>
      </c>
    </row>
    <row r="54" spans="1:15">
      <c r="A54" s="4" t="str">
        <f>"20170324"</f>
        <v>20170324</v>
      </c>
      <c r="B54" s="4" t="str">
        <f>"20170324"</f>
        <v>20170324</v>
      </c>
      <c r="C54" s="4" t="str">
        <f t="shared" si="36"/>
        <v>基金赎回拨入</v>
      </c>
      <c r="D54" s="4" t="str">
        <f t="shared" si="33"/>
        <v>AA0007</v>
      </c>
      <c r="E54" s="4" t="str">
        <f t="shared" si="34"/>
        <v>银河水星1号集合</v>
      </c>
      <c r="F54" s="4">
        <v>0</v>
      </c>
      <c r="G54" s="4">
        <v>7005</v>
      </c>
      <c r="H54" s="4">
        <v>0</v>
      </c>
      <c r="I54" s="4">
        <v>7005</v>
      </c>
      <c r="J54" s="4">
        <v>7006</v>
      </c>
      <c r="K54" s="4">
        <v>0</v>
      </c>
      <c r="L54" s="4" t="str">
        <f t="shared" si="2"/>
        <v>人民币</v>
      </c>
      <c r="N54" s="4" t="str">
        <f t="shared" si="35"/>
        <v>980149593788</v>
      </c>
      <c r="O54" s="4" t="str">
        <f t="shared" si="4"/>
        <v>300100052893</v>
      </c>
    </row>
    <row r="55" spans="1:15">
      <c r="A55" s="4" t="str">
        <f>"20170324"</f>
        <v>20170324</v>
      </c>
      <c r="B55" s="4" t="str">
        <f>"20170324"</f>
        <v>20170324</v>
      </c>
      <c r="C55" s="4" t="str">
        <f t="shared" si="37"/>
        <v>证券买入</v>
      </c>
      <c r="D55" s="4" t="str">
        <f t="shared" ref="D55:D59" si="39">"150276"</f>
        <v>150276</v>
      </c>
      <c r="E55" s="4" t="str">
        <f t="shared" ref="E55:E59" si="40">"一带一B"</f>
        <v>一带一B</v>
      </c>
      <c r="F55" s="4">
        <v>0.7</v>
      </c>
      <c r="G55" s="4">
        <v>10000</v>
      </c>
      <c r="H55" s="4">
        <v>7000</v>
      </c>
      <c r="I55" s="4">
        <v>-7005</v>
      </c>
      <c r="J55" s="4">
        <v>1</v>
      </c>
      <c r="K55" s="4">
        <v>10000</v>
      </c>
      <c r="L55" s="4" t="str">
        <f t="shared" si="2"/>
        <v>人民币</v>
      </c>
      <c r="M55" s="4" t="str">
        <f>"T4005961"</f>
        <v>T4005961</v>
      </c>
      <c r="N55" s="4" t="str">
        <f t="shared" si="38"/>
        <v>0149593788</v>
      </c>
      <c r="O55" s="4" t="str">
        <f t="shared" si="4"/>
        <v>300100052893</v>
      </c>
    </row>
    <row r="56" spans="1:15">
      <c r="A56" s="4" t="str">
        <f t="shared" ref="A56:A60" si="41">"20170327"</f>
        <v>20170327</v>
      </c>
      <c r="B56" s="4" t="str">
        <f t="shared" ref="B56:B60" si="42">"20170327"</f>
        <v>20170327</v>
      </c>
      <c r="C56" s="4" t="str">
        <f t="shared" si="36"/>
        <v>基金赎回拨入</v>
      </c>
      <c r="D56" s="4" t="str">
        <f>"AA0007"</f>
        <v>AA0007</v>
      </c>
      <c r="E56" s="4" t="str">
        <f>"银河水星1号集合"</f>
        <v>银河水星1号集合</v>
      </c>
      <c r="F56" s="4">
        <v>0</v>
      </c>
      <c r="G56" s="4">
        <v>19120</v>
      </c>
      <c r="H56" s="4">
        <v>0</v>
      </c>
      <c r="I56" s="4">
        <v>19120</v>
      </c>
      <c r="J56" s="4">
        <v>19121</v>
      </c>
      <c r="K56" s="4">
        <v>0</v>
      </c>
      <c r="L56" s="4" t="str">
        <f t="shared" si="2"/>
        <v>人民币</v>
      </c>
      <c r="N56" s="4" t="str">
        <f>"980149593788"</f>
        <v>980149593788</v>
      </c>
      <c r="O56" s="4" t="str">
        <f t="shared" si="4"/>
        <v>300100052893</v>
      </c>
    </row>
    <row r="57" spans="1:15">
      <c r="A57" s="4" t="str">
        <f t="shared" si="41"/>
        <v>20170327</v>
      </c>
      <c r="B57" s="4" t="str">
        <f t="shared" si="42"/>
        <v>20170327</v>
      </c>
      <c r="C57" s="4" t="str">
        <f t="shared" si="37"/>
        <v>证券买入</v>
      </c>
      <c r="D57" s="4" t="str">
        <f t="shared" si="39"/>
        <v>150276</v>
      </c>
      <c r="E57" s="4" t="str">
        <f t="shared" si="40"/>
        <v>一带一B</v>
      </c>
      <c r="F57" s="4">
        <v>0.77</v>
      </c>
      <c r="G57" s="4">
        <v>10000</v>
      </c>
      <c r="H57" s="4">
        <v>7700</v>
      </c>
      <c r="I57" s="4">
        <v>-7705</v>
      </c>
      <c r="J57" s="4">
        <v>11416</v>
      </c>
      <c r="K57" s="4">
        <v>20000</v>
      </c>
      <c r="L57" s="4" t="str">
        <f t="shared" si="2"/>
        <v>人民币</v>
      </c>
      <c r="M57" s="4" t="str">
        <f>"T4005190"</f>
        <v>T4005190</v>
      </c>
      <c r="N57" s="4" t="str">
        <f t="shared" si="38"/>
        <v>0149593788</v>
      </c>
      <c r="O57" s="4" t="str">
        <f t="shared" si="4"/>
        <v>300100052893</v>
      </c>
    </row>
    <row r="58" spans="1:15">
      <c r="A58" s="4" t="str">
        <f t="shared" si="41"/>
        <v>20170327</v>
      </c>
      <c r="B58" s="4" t="str">
        <f t="shared" si="42"/>
        <v>20170327</v>
      </c>
      <c r="C58" s="4" t="str">
        <f>"证券卖出"</f>
        <v>证券卖出</v>
      </c>
      <c r="D58" s="4" t="str">
        <f t="shared" si="39"/>
        <v>150276</v>
      </c>
      <c r="E58" s="4" t="str">
        <f t="shared" si="40"/>
        <v>一带一B</v>
      </c>
      <c r="F58" s="4">
        <v>0.763</v>
      </c>
      <c r="G58" s="4">
        <v>10000</v>
      </c>
      <c r="H58" s="4">
        <v>7630</v>
      </c>
      <c r="I58" s="4">
        <v>7625</v>
      </c>
      <c r="J58" s="4">
        <v>19041</v>
      </c>
      <c r="K58" s="4">
        <v>10000</v>
      </c>
      <c r="L58" s="4" t="str">
        <f t="shared" si="2"/>
        <v>人民币</v>
      </c>
      <c r="M58" s="4" t="str">
        <f>"T4007158"</f>
        <v>T4007158</v>
      </c>
      <c r="N58" s="4" t="str">
        <f t="shared" si="38"/>
        <v>0149593788</v>
      </c>
      <c r="O58" s="4" t="str">
        <f t="shared" si="4"/>
        <v>300100052893</v>
      </c>
    </row>
    <row r="59" spans="1:15">
      <c r="A59" s="4" t="str">
        <f t="shared" si="41"/>
        <v>20170327</v>
      </c>
      <c r="B59" s="4" t="str">
        <f t="shared" si="42"/>
        <v>20170327</v>
      </c>
      <c r="C59" s="4" t="str">
        <f t="shared" ref="C59:C62" si="43">"证券买入"</f>
        <v>证券买入</v>
      </c>
      <c r="D59" s="4" t="str">
        <f t="shared" si="39"/>
        <v>150276</v>
      </c>
      <c r="E59" s="4" t="str">
        <f t="shared" si="40"/>
        <v>一带一B</v>
      </c>
      <c r="F59" s="4">
        <v>0.761</v>
      </c>
      <c r="G59" s="4">
        <v>10000</v>
      </c>
      <c r="H59" s="4">
        <v>7610</v>
      </c>
      <c r="I59" s="4">
        <v>-7615</v>
      </c>
      <c r="J59" s="4">
        <v>11426</v>
      </c>
      <c r="K59" s="4">
        <v>20000</v>
      </c>
      <c r="L59" s="4" t="str">
        <f t="shared" si="2"/>
        <v>人民币</v>
      </c>
      <c r="M59" s="4" t="str">
        <f>"T4008268"</f>
        <v>T4008268</v>
      </c>
      <c r="N59" s="4" t="str">
        <f t="shared" si="38"/>
        <v>0149593788</v>
      </c>
      <c r="O59" s="4" t="str">
        <f t="shared" si="4"/>
        <v>300100052893</v>
      </c>
    </row>
    <row r="60" spans="1:15">
      <c r="A60" s="4" t="str">
        <f t="shared" si="41"/>
        <v>20170327</v>
      </c>
      <c r="B60" s="4" t="str">
        <f t="shared" si="42"/>
        <v>20170327</v>
      </c>
      <c r="C60" s="4" t="str">
        <f t="shared" si="43"/>
        <v>证券买入</v>
      </c>
      <c r="D60" s="4" t="str">
        <f>"150197"</f>
        <v>150197</v>
      </c>
      <c r="E60" s="4" t="str">
        <f>"有色B"</f>
        <v>有色B</v>
      </c>
      <c r="F60" s="4">
        <v>1.142</v>
      </c>
      <c r="G60" s="4">
        <v>10000</v>
      </c>
      <c r="H60" s="4">
        <v>11420</v>
      </c>
      <c r="I60" s="4">
        <v>-11425</v>
      </c>
      <c r="J60" s="4">
        <v>1</v>
      </c>
      <c r="K60" s="4">
        <v>10000</v>
      </c>
      <c r="L60" s="4" t="str">
        <f t="shared" si="2"/>
        <v>人民币</v>
      </c>
      <c r="M60" s="4" t="str">
        <f>"T4011009"</f>
        <v>T4011009</v>
      </c>
      <c r="N60" s="4" t="str">
        <f t="shared" si="38"/>
        <v>0149593788</v>
      </c>
      <c r="O60" s="4" t="str">
        <f t="shared" si="4"/>
        <v>300100052893</v>
      </c>
    </row>
    <row r="61" spans="1:15">
      <c r="A61" s="4" t="str">
        <f>"20170328"</f>
        <v>20170328</v>
      </c>
      <c r="B61" s="4" t="str">
        <f>"20170328"</f>
        <v>20170328</v>
      </c>
      <c r="C61" s="4" t="str">
        <f>"基金赎回拨入"</f>
        <v>基金赎回拨入</v>
      </c>
      <c r="D61" s="4" t="str">
        <f t="shared" ref="D61:D65" si="44">"AA0007"</f>
        <v>AA0007</v>
      </c>
      <c r="E61" s="4" t="str">
        <f t="shared" ref="E61:E65" si="45">"银河水星1号集合"</f>
        <v>银河水星1号集合</v>
      </c>
      <c r="F61" s="4">
        <v>0</v>
      </c>
      <c r="G61" s="4">
        <v>11405</v>
      </c>
      <c r="H61" s="4">
        <v>0</v>
      </c>
      <c r="I61" s="4">
        <v>11405</v>
      </c>
      <c r="J61" s="4">
        <v>11406</v>
      </c>
      <c r="K61" s="4">
        <v>0</v>
      </c>
      <c r="L61" s="4" t="str">
        <f t="shared" si="2"/>
        <v>人民币</v>
      </c>
      <c r="N61" s="4" t="str">
        <f t="shared" ref="N61:N65" si="46">"980149593788"</f>
        <v>980149593788</v>
      </c>
      <c r="O61" s="4" t="str">
        <f t="shared" si="4"/>
        <v>300100052893</v>
      </c>
    </row>
    <row r="62" spans="1:15">
      <c r="A62" s="4" t="str">
        <f>"20170328"</f>
        <v>20170328</v>
      </c>
      <c r="B62" s="4" t="str">
        <f>"20170328"</f>
        <v>20170328</v>
      </c>
      <c r="C62" s="4" t="str">
        <f t="shared" si="43"/>
        <v>证券买入</v>
      </c>
      <c r="D62" s="4" t="str">
        <f>"150197"</f>
        <v>150197</v>
      </c>
      <c r="E62" s="4" t="str">
        <f>"有色B"</f>
        <v>有色B</v>
      </c>
      <c r="F62" s="4">
        <v>1.14</v>
      </c>
      <c r="G62" s="4">
        <v>10000</v>
      </c>
      <c r="H62" s="4">
        <v>11400</v>
      </c>
      <c r="I62" s="4">
        <v>-11405</v>
      </c>
      <c r="J62" s="4">
        <v>1</v>
      </c>
      <c r="K62" s="4">
        <v>20000</v>
      </c>
      <c r="L62" s="4" t="str">
        <f t="shared" si="2"/>
        <v>人民币</v>
      </c>
      <c r="M62" s="4" t="str">
        <f>"T4002323"</f>
        <v>T4002323</v>
      </c>
      <c r="N62" s="4" t="str">
        <f t="shared" ref="N62:N66" si="47">"0149593788"</f>
        <v>0149593788</v>
      </c>
      <c r="O62" s="4" t="str">
        <f t="shared" si="4"/>
        <v>300100052893</v>
      </c>
    </row>
    <row r="63" spans="1:15">
      <c r="A63" s="4" t="str">
        <f>"20170329"</f>
        <v>20170329</v>
      </c>
      <c r="B63" s="4" t="str">
        <f>"20170329"</f>
        <v>20170329</v>
      </c>
      <c r="C63" s="4" t="str">
        <f>"基金申购拨出"</f>
        <v>基金申购拨出</v>
      </c>
      <c r="D63" s="4" t="str">
        <f t="shared" si="44"/>
        <v>AA0007</v>
      </c>
      <c r="E63" s="4" t="str">
        <f t="shared" si="45"/>
        <v>银河水星1号集合</v>
      </c>
      <c r="F63" s="4">
        <v>0</v>
      </c>
      <c r="G63" s="4">
        <v>0</v>
      </c>
      <c r="H63" s="4">
        <v>0</v>
      </c>
      <c r="I63" s="4">
        <v>-13975</v>
      </c>
      <c r="J63" s="4">
        <v>-13974</v>
      </c>
      <c r="K63" s="4">
        <v>0</v>
      </c>
      <c r="L63" s="4" t="str">
        <f t="shared" si="2"/>
        <v>人民币</v>
      </c>
      <c r="N63" s="4" t="str">
        <f t="shared" si="46"/>
        <v>980149593788</v>
      </c>
      <c r="O63" s="4" t="str">
        <f t="shared" si="4"/>
        <v>300100052893</v>
      </c>
    </row>
    <row r="64" spans="1:15">
      <c r="A64" s="4" t="str">
        <f>"20170329"</f>
        <v>20170329</v>
      </c>
      <c r="B64" s="4" t="str">
        <f>"20170329"</f>
        <v>20170329</v>
      </c>
      <c r="C64" s="4" t="str">
        <f>"证券卖出"</f>
        <v>证券卖出</v>
      </c>
      <c r="D64" s="4" t="str">
        <f>"150276"</f>
        <v>150276</v>
      </c>
      <c r="E64" s="4" t="str">
        <f>"一带一B"</f>
        <v>一带一B</v>
      </c>
      <c r="F64" s="4">
        <v>0.699</v>
      </c>
      <c r="G64" s="4">
        <v>20000</v>
      </c>
      <c r="H64" s="4">
        <v>13980</v>
      </c>
      <c r="I64" s="4">
        <v>13975</v>
      </c>
      <c r="J64" s="4">
        <v>1</v>
      </c>
      <c r="K64" s="4">
        <v>0</v>
      </c>
      <c r="L64" s="4" t="str">
        <f t="shared" si="2"/>
        <v>人民币</v>
      </c>
      <c r="M64" s="4" t="str">
        <f>"T4007161"</f>
        <v>T4007161</v>
      </c>
      <c r="N64" s="4" t="str">
        <f t="shared" si="47"/>
        <v>0149593788</v>
      </c>
      <c r="O64" s="4" t="str">
        <f t="shared" si="4"/>
        <v>300100052893</v>
      </c>
    </row>
    <row r="65" spans="1:15">
      <c r="A65" s="4" t="str">
        <f>"20170330"</f>
        <v>20170330</v>
      </c>
      <c r="B65" s="4" t="str">
        <f>"20170330"</f>
        <v>20170330</v>
      </c>
      <c r="C65" s="4" t="str">
        <f>"基金申购拨出"</f>
        <v>基金申购拨出</v>
      </c>
      <c r="D65" s="4" t="str">
        <f t="shared" si="44"/>
        <v>AA0007</v>
      </c>
      <c r="E65" s="4" t="str">
        <f t="shared" si="45"/>
        <v>银河水星1号集合</v>
      </c>
      <c r="F65" s="4">
        <v>0</v>
      </c>
      <c r="G65" s="4">
        <v>0</v>
      </c>
      <c r="H65" s="4">
        <v>0</v>
      </c>
      <c r="I65" s="4">
        <v>-22393.06</v>
      </c>
      <c r="J65" s="4">
        <v>-22392.06</v>
      </c>
      <c r="K65" s="4">
        <v>0</v>
      </c>
      <c r="L65" s="4" t="str">
        <f t="shared" si="2"/>
        <v>人民币</v>
      </c>
      <c r="N65" s="4" t="str">
        <f t="shared" si="46"/>
        <v>980149593788</v>
      </c>
      <c r="O65" s="4" t="str">
        <f t="shared" si="4"/>
        <v>300100052893</v>
      </c>
    </row>
    <row r="66" spans="1:15">
      <c r="A66" s="4" t="str">
        <f>"20170330"</f>
        <v>20170330</v>
      </c>
      <c r="B66" s="4" t="str">
        <f>"20170330"</f>
        <v>20170330</v>
      </c>
      <c r="C66" s="4" t="str">
        <f>"证券卖出"</f>
        <v>证券卖出</v>
      </c>
      <c r="D66" s="4" t="str">
        <f>"150197"</f>
        <v>150197</v>
      </c>
      <c r="E66" s="4" t="str">
        <f>"有色B"</f>
        <v>有色B</v>
      </c>
      <c r="F66" s="4">
        <v>1.12</v>
      </c>
      <c r="G66" s="4">
        <v>20000</v>
      </c>
      <c r="H66" s="4">
        <v>22400</v>
      </c>
      <c r="I66" s="4">
        <v>22393.06</v>
      </c>
      <c r="J66" s="4">
        <v>1</v>
      </c>
      <c r="K66" s="4">
        <v>0</v>
      </c>
      <c r="L66" s="4" t="str">
        <f>"人民币"</f>
        <v>人民币</v>
      </c>
      <c r="M66" s="4" t="str">
        <f>"T4010966"</f>
        <v>T4010966</v>
      </c>
      <c r="N66" s="4" t="str">
        <f t="shared" si="47"/>
        <v>0149593788</v>
      </c>
      <c r="O66" s="4" t="str">
        <f>"300100052893"</f>
        <v>300100052893</v>
      </c>
    </row>
  </sheetData>
  <autoFilter ref="A1:O66">
    <extLst/>
  </autoFilter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opLeftCell="A13" workbookViewId="0">
      <selection activeCell="A2" sqref="A2:K34"/>
    </sheetView>
  </sheetViews>
  <sheetFormatPr defaultColWidth="9" defaultRowHeight="13.5"/>
  <cols>
    <col min="1" max="16384" width="9" style="4"/>
  </cols>
  <sheetData>
    <row r="1" spans="1:15">
      <c r="A1" s="4" t="str">
        <f>"购买日期"</f>
        <v>购买日期</v>
      </c>
      <c r="B1" s="4" t="str">
        <f>"委托日期"</f>
        <v>委托日期</v>
      </c>
      <c r="C1" s="4" t="str">
        <f>"业务类型"</f>
        <v>业务类型</v>
      </c>
      <c r="D1" s="4" t="str">
        <f>"证券代码"</f>
        <v>证券代码</v>
      </c>
      <c r="E1" s="4" t="str">
        <f>"证券名称"</f>
        <v>证券名称</v>
      </c>
      <c r="F1" s="4" t="str">
        <f>"成交价格"</f>
        <v>成交价格</v>
      </c>
      <c r="G1" s="4" t="str">
        <f>"成交数量"</f>
        <v>成交数量</v>
      </c>
      <c r="H1" s="4" t="str">
        <f>"成交金额"</f>
        <v>成交金额</v>
      </c>
      <c r="I1" s="4" t="str">
        <f>"发生金额"</f>
        <v>发生金额</v>
      </c>
      <c r="J1" s="4" t="str">
        <f>"资金余额"</f>
        <v>资金余额</v>
      </c>
      <c r="K1" s="4" t="str">
        <f>"当前持仓"</f>
        <v>当前持仓</v>
      </c>
      <c r="L1" s="4" t="str">
        <f>"币种"</f>
        <v>币种</v>
      </c>
      <c r="M1" s="4" t="str">
        <f>"协议编号"</f>
        <v>协议编号</v>
      </c>
      <c r="N1" s="4" t="str">
        <f>"股东代码"</f>
        <v>股东代码</v>
      </c>
      <c r="O1" s="4" t="str">
        <f>"产品账号"</f>
        <v>产品账号</v>
      </c>
    </row>
    <row r="2" spans="1:15">
      <c r="A2" s="4" t="str">
        <f>"20170405"</f>
        <v>20170405</v>
      </c>
      <c r="B2" s="4" t="str">
        <f>"20170405"</f>
        <v>20170405</v>
      </c>
      <c r="C2" s="4" t="str">
        <f>"基金申购拨出"</f>
        <v>基金申购拨出</v>
      </c>
      <c r="D2" s="4" t="str">
        <f>"040008"</f>
        <v>040008</v>
      </c>
      <c r="E2" s="4" t="str">
        <f>"华安优选"</f>
        <v>华安优选</v>
      </c>
      <c r="F2" s="4">
        <v>0</v>
      </c>
      <c r="G2" s="4">
        <v>0</v>
      </c>
      <c r="H2" s="4">
        <v>0</v>
      </c>
      <c r="I2" s="4">
        <v>-20000</v>
      </c>
      <c r="J2" s="4">
        <v>-19999</v>
      </c>
      <c r="K2" s="4">
        <v>0</v>
      </c>
      <c r="L2" s="4" t="str">
        <f t="shared" ref="L2:L34" si="0">"人民币"</f>
        <v>人民币</v>
      </c>
      <c r="O2" s="4" t="str">
        <f t="shared" ref="O2:O34" si="1">"300100052893"</f>
        <v>300100052893</v>
      </c>
    </row>
    <row r="3" spans="1:15">
      <c r="A3" s="4" t="str">
        <f>"20170405"</f>
        <v>20170405</v>
      </c>
      <c r="B3" s="4" t="str">
        <f>"20170405"</f>
        <v>20170405</v>
      </c>
      <c r="C3" s="4" t="str">
        <f t="shared" ref="C3:C6" si="2">"基金赎回拨入"</f>
        <v>基金赎回拨入</v>
      </c>
      <c r="D3" s="4" t="str">
        <f t="shared" ref="D3:D8" si="3">"AA0007"</f>
        <v>AA0007</v>
      </c>
      <c r="E3" s="4" t="str">
        <f t="shared" ref="E3:E8" si="4">"银河水星1号集合"</f>
        <v>银河水星1号集合</v>
      </c>
      <c r="F3" s="4">
        <v>0</v>
      </c>
      <c r="G3" s="4">
        <v>19999</v>
      </c>
      <c r="H3" s="4">
        <v>0</v>
      </c>
      <c r="I3" s="4">
        <v>19999</v>
      </c>
      <c r="J3" s="4">
        <v>0</v>
      </c>
      <c r="K3" s="4">
        <v>0</v>
      </c>
      <c r="L3" s="4" t="str">
        <f t="shared" si="0"/>
        <v>人民币</v>
      </c>
      <c r="N3" s="4" t="str">
        <f t="shared" ref="N3:N8" si="5">"980149593788"</f>
        <v>980149593788</v>
      </c>
      <c r="O3" s="4" t="str">
        <f t="shared" si="1"/>
        <v>300100052893</v>
      </c>
    </row>
    <row r="4" spans="1:15">
      <c r="A4" s="4" t="str">
        <f>"20170410"</f>
        <v>20170410</v>
      </c>
      <c r="B4" s="4" t="str">
        <f t="shared" ref="B4:B6" si="6">"20170410"</f>
        <v>20170410</v>
      </c>
      <c r="C4" s="4" t="str">
        <f t="shared" si="2"/>
        <v>基金赎回拨入</v>
      </c>
      <c r="D4" s="4" t="str">
        <f t="shared" si="3"/>
        <v>AA0007</v>
      </c>
      <c r="E4" s="4" t="str">
        <f t="shared" si="4"/>
        <v>银河水星1号集合</v>
      </c>
      <c r="F4" s="4">
        <v>0</v>
      </c>
      <c r="G4" s="4">
        <v>58894</v>
      </c>
      <c r="H4" s="4">
        <v>0</v>
      </c>
      <c r="I4" s="4">
        <v>58894.27</v>
      </c>
      <c r="J4" s="4">
        <v>58894.27</v>
      </c>
      <c r="K4" s="4">
        <v>0</v>
      </c>
      <c r="L4" s="4" t="str">
        <f t="shared" si="0"/>
        <v>人民币</v>
      </c>
      <c r="N4" s="4" t="str">
        <f t="shared" si="5"/>
        <v>980149593788</v>
      </c>
      <c r="O4" s="4" t="str">
        <f t="shared" si="1"/>
        <v>300100052893</v>
      </c>
    </row>
    <row r="5" spans="1:15">
      <c r="A5" s="4" t="str">
        <f>"20170410"</f>
        <v>20170410</v>
      </c>
      <c r="B5" s="4" t="str">
        <f t="shared" si="6"/>
        <v>20170410</v>
      </c>
      <c r="C5" s="4" t="str">
        <f>"证券买入"</f>
        <v>证券买入</v>
      </c>
      <c r="D5" s="4" t="str">
        <f>"000601"</f>
        <v>000601</v>
      </c>
      <c r="E5" s="4" t="str">
        <f>"韶能股份"</f>
        <v>韶能股份</v>
      </c>
      <c r="F5" s="4">
        <v>8.31</v>
      </c>
      <c r="G5" s="4">
        <v>7000</v>
      </c>
      <c r="H5" s="4">
        <v>58170</v>
      </c>
      <c r="I5" s="4">
        <v>-58188.03</v>
      </c>
      <c r="J5" s="4">
        <v>706.24</v>
      </c>
      <c r="K5" s="4">
        <v>19400</v>
      </c>
      <c r="L5" s="4" t="str">
        <f t="shared" si="0"/>
        <v>人民币</v>
      </c>
      <c r="M5" s="4" t="str">
        <f>"T4006401"</f>
        <v>T4006401</v>
      </c>
      <c r="N5" s="4" t="str">
        <f>"0149593788"</f>
        <v>0149593788</v>
      </c>
      <c r="O5" s="4" t="str">
        <f t="shared" si="1"/>
        <v>300100052893</v>
      </c>
    </row>
    <row r="6" spans="1:15">
      <c r="A6" s="4" t="str">
        <f>"20170413"</f>
        <v>20170413</v>
      </c>
      <c r="B6" s="4" t="str">
        <f t="shared" si="6"/>
        <v>20170410</v>
      </c>
      <c r="C6" s="4" t="str">
        <f t="shared" si="2"/>
        <v>基金赎回拨入</v>
      </c>
      <c r="D6" s="4" t="str">
        <f>"040008"</f>
        <v>040008</v>
      </c>
      <c r="E6" s="4" t="str">
        <f>"华安优选"</f>
        <v>华安优选</v>
      </c>
      <c r="F6" s="4">
        <v>0</v>
      </c>
      <c r="G6" s="4">
        <v>16883</v>
      </c>
      <c r="H6" s="4">
        <v>20436.2</v>
      </c>
      <c r="I6" s="4">
        <v>20334.01</v>
      </c>
      <c r="J6" s="4">
        <v>21040.25</v>
      </c>
      <c r="K6" s="4">
        <v>0</v>
      </c>
      <c r="L6" s="4" t="str">
        <f t="shared" si="0"/>
        <v>人民币</v>
      </c>
      <c r="N6" s="4" t="str">
        <f>"041345741903"</f>
        <v>041345741903</v>
      </c>
      <c r="O6" s="4" t="str">
        <f t="shared" si="1"/>
        <v>300100052893</v>
      </c>
    </row>
    <row r="7" spans="1:15">
      <c r="A7" s="4" t="str">
        <f>"20170414"</f>
        <v>20170414</v>
      </c>
      <c r="B7" s="4" t="str">
        <f>"20170414"</f>
        <v>20170414</v>
      </c>
      <c r="C7" s="4" t="str">
        <f>"基金申购拨出"</f>
        <v>基金申购拨出</v>
      </c>
      <c r="D7" s="4" t="str">
        <f t="shared" si="3"/>
        <v>AA0007</v>
      </c>
      <c r="E7" s="4" t="str">
        <f t="shared" si="4"/>
        <v>银河水星1号集合</v>
      </c>
      <c r="F7" s="4">
        <v>0</v>
      </c>
      <c r="G7" s="4">
        <v>0</v>
      </c>
      <c r="H7" s="4">
        <v>0</v>
      </c>
      <c r="I7" s="4">
        <v>-21040.25</v>
      </c>
      <c r="J7" s="4">
        <v>0</v>
      </c>
      <c r="K7" s="4">
        <v>0</v>
      </c>
      <c r="L7" s="4" t="str">
        <f t="shared" si="0"/>
        <v>人民币</v>
      </c>
      <c r="N7" s="4" t="str">
        <f t="shared" si="5"/>
        <v>980149593788</v>
      </c>
      <c r="O7" s="4" t="str">
        <f t="shared" si="1"/>
        <v>300100052893</v>
      </c>
    </row>
    <row r="8" spans="1:15">
      <c r="A8" s="4" t="str">
        <f>"20170504"</f>
        <v>20170504</v>
      </c>
      <c r="B8" s="4" t="str">
        <f>"20170504"</f>
        <v>20170504</v>
      </c>
      <c r="C8" s="4" t="str">
        <f>"基金赎回拨入"</f>
        <v>基金赎回拨入</v>
      </c>
      <c r="D8" s="4" t="str">
        <f t="shared" si="3"/>
        <v>AA0007</v>
      </c>
      <c r="E8" s="4" t="str">
        <f t="shared" si="4"/>
        <v>银河水星1号集合</v>
      </c>
      <c r="F8" s="4">
        <v>0</v>
      </c>
      <c r="G8" s="4">
        <v>21040</v>
      </c>
      <c r="H8" s="4">
        <v>0</v>
      </c>
      <c r="I8" s="4">
        <v>21040.25</v>
      </c>
      <c r="J8" s="4">
        <v>21040.25</v>
      </c>
      <c r="K8" s="4">
        <v>0</v>
      </c>
      <c r="L8" s="4" t="str">
        <f t="shared" si="0"/>
        <v>人民币</v>
      </c>
      <c r="N8" s="4" t="str">
        <f t="shared" si="5"/>
        <v>980149593788</v>
      </c>
      <c r="O8" s="4" t="str">
        <f t="shared" si="1"/>
        <v>300100052893</v>
      </c>
    </row>
    <row r="9" spans="1:15">
      <c r="A9" s="4" t="str">
        <f>"20170504"</f>
        <v>20170504</v>
      </c>
      <c r="B9" s="4" t="str">
        <f>"20170504"</f>
        <v>20170504</v>
      </c>
      <c r="C9" s="4" t="str">
        <f>"证券买入"</f>
        <v>证券买入</v>
      </c>
      <c r="D9" s="4" t="str">
        <f>"150197"</f>
        <v>150197</v>
      </c>
      <c r="E9" s="4" t="str">
        <f>"有色B"</f>
        <v>有色B</v>
      </c>
      <c r="F9" s="4">
        <v>0.933</v>
      </c>
      <c r="G9" s="4">
        <v>22400</v>
      </c>
      <c r="H9" s="4">
        <v>20899.2</v>
      </c>
      <c r="I9" s="4">
        <v>-20905.68</v>
      </c>
      <c r="J9" s="4">
        <v>134.57</v>
      </c>
      <c r="K9" s="4">
        <v>22400</v>
      </c>
      <c r="L9" s="4" t="str">
        <f t="shared" si="0"/>
        <v>人民币</v>
      </c>
      <c r="M9" s="4" t="str">
        <f>"T4006573"</f>
        <v>T4006573</v>
      </c>
      <c r="N9" s="4" t="str">
        <f t="shared" ref="N9:N18" si="7">"0149593788"</f>
        <v>0149593788</v>
      </c>
      <c r="O9" s="4" t="str">
        <f t="shared" si="1"/>
        <v>300100052893</v>
      </c>
    </row>
    <row r="10" spans="1:15">
      <c r="A10" s="4" t="str">
        <f>"20170505"</f>
        <v>20170505</v>
      </c>
      <c r="B10" s="4" t="str">
        <f>"20170505"</f>
        <v>20170505</v>
      </c>
      <c r="C10" s="4" t="str">
        <f>"基金申购拨出"</f>
        <v>基金申购拨出</v>
      </c>
      <c r="D10" s="4" t="str">
        <f>"AA0007"</f>
        <v>AA0007</v>
      </c>
      <c r="E10" s="4" t="str">
        <f>"银河水星1号集合"</f>
        <v>银河水星1号集合</v>
      </c>
      <c r="F10" s="4">
        <v>0</v>
      </c>
      <c r="G10" s="4">
        <v>0</v>
      </c>
      <c r="H10" s="4">
        <v>0</v>
      </c>
      <c r="I10" s="4">
        <v>-20421.68</v>
      </c>
      <c r="J10" s="4">
        <v>-20287.11</v>
      </c>
      <c r="K10" s="4">
        <v>0</v>
      </c>
      <c r="L10" s="4" t="str">
        <f t="shared" si="0"/>
        <v>人民币</v>
      </c>
      <c r="N10" s="4" t="str">
        <f>"980149593788"</f>
        <v>980149593788</v>
      </c>
      <c r="O10" s="4" t="str">
        <f t="shared" si="1"/>
        <v>300100052893</v>
      </c>
    </row>
    <row r="11" spans="1:15">
      <c r="A11" s="4" t="str">
        <f>"20170505"</f>
        <v>20170505</v>
      </c>
      <c r="B11" s="4" t="str">
        <f>"20170505"</f>
        <v>20170505</v>
      </c>
      <c r="C11" s="4" t="str">
        <f t="shared" ref="C11:C16" si="8">"证券卖出"</f>
        <v>证券卖出</v>
      </c>
      <c r="D11" s="4" t="str">
        <f>"150197"</f>
        <v>150197</v>
      </c>
      <c r="E11" s="4" t="str">
        <f>"有色B"</f>
        <v>有色B</v>
      </c>
      <c r="F11" s="4">
        <v>0.906</v>
      </c>
      <c r="G11" s="4">
        <v>22400</v>
      </c>
      <c r="H11" s="4">
        <v>20294.4</v>
      </c>
      <c r="I11" s="4">
        <v>20288.11</v>
      </c>
      <c r="J11" s="4">
        <v>1</v>
      </c>
      <c r="K11" s="4">
        <v>0</v>
      </c>
      <c r="L11" s="4" t="str">
        <f t="shared" si="0"/>
        <v>人民币</v>
      </c>
      <c r="M11" s="4" t="str">
        <f>"T4002668"</f>
        <v>T4002668</v>
      </c>
      <c r="N11" s="4" t="str">
        <f t="shared" si="7"/>
        <v>0149593788</v>
      </c>
      <c r="O11" s="4" t="str">
        <f t="shared" si="1"/>
        <v>300100052893</v>
      </c>
    </row>
    <row r="12" spans="1:15">
      <c r="A12" s="4" t="str">
        <f>"20170509"</f>
        <v>20170509</v>
      </c>
      <c r="B12" s="4" t="str">
        <f>"20170509"</f>
        <v>20170509</v>
      </c>
      <c r="C12" s="4" t="str">
        <f>"基金赎回拨入"</f>
        <v>基金赎回拨入</v>
      </c>
      <c r="D12" s="4" t="str">
        <f>"AA0007"</f>
        <v>AA0007</v>
      </c>
      <c r="E12" s="4" t="str">
        <f>"银河水星1号集合"</f>
        <v>银河水星1号集合</v>
      </c>
      <c r="F12" s="4">
        <v>0</v>
      </c>
      <c r="G12" s="4">
        <v>20421</v>
      </c>
      <c r="H12" s="4">
        <v>0</v>
      </c>
      <c r="I12" s="4">
        <v>20421.68</v>
      </c>
      <c r="J12" s="4">
        <v>20422.68</v>
      </c>
      <c r="K12" s="4">
        <v>0</v>
      </c>
      <c r="L12" s="4" t="str">
        <f t="shared" si="0"/>
        <v>人民币</v>
      </c>
      <c r="N12" s="4" t="str">
        <f>"980149593788"</f>
        <v>980149593788</v>
      </c>
      <c r="O12" s="4" t="str">
        <f t="shared" si="1"/>
        <v>300100052893</v>
      </c>
    </row>
    <row r="13" spans="1:15">
      <c r="A13" s="4" t="str">
        <f>"20170509"</f>
        <v>20170509</v>
      </c>
      <c r="B13" s="4" t="str">
        <f>"20170509"</f>
        <v>20170509</v>
      </c>
      <c r="C13" s="4" t="str">
        <f t="shared" ref="C13:C17" si="9">"证券买入"</f>
        <v>证券买入</v>
      </c>
      <c r="D13" s="4" t="str">
        <f t="shared" ref="D13:D17" si="10">"000601"</f>
        <v>000601</v>
      </c>
      <c r="E13" s="4" t="str">
        <f t="shared" ref="E13:E17" si="11">"韶能股份"</f>
        <v>韶能股份</v>
      </c>
      <c r="F13" s="4">
        <v>7.34</v>
      </c>
      <c r="G13" s="4">
        <v>2700</v>
      </c>
      <c r="H13" s="4">
        <v>19818</v>
      </c>
      <c r="I13" s="4">
        <v>-19824.14</v>
      </c>
      <c r="J13" s="4">
        <v>598.54</v>
      </c>
      <c r="K13" s="4">
        <v>22100</v>
      </c>
      <c r="L13" s="4" t="str">
        <f t="shared" si="0"/>
        <v>人民币</v>
      </c>
      <c r="M13" s="4" t="str">
        <f>"T4005446"</f>
        <v>T4005446</v>
      </c>
      <c r="N13" s="4" t="str">
        <f t="shared" si="7"/>
        <v>0149593788</v>
      </c>
      <c r="O13" s="4" t="str">
        <f t="shared" si="1"/>
        <v>300100052893</v>
      </c>
    </row>
    <row r="14" spans="1:15">
      <c r="A14" s="4" t="str">
        <f t="shared" ref="A14:A17" si="12">"20170510"</f>
        <v>20170510</v>
      </c>
      <c r="B14" s="4" t="str">
        <f t="shared" ref="B14:B17" si="13">"20170510"</f>
        <v>20170510</v>
      </c>
      <c r="C14" s="4" t="str">
        <f t="shared" si="8"/>
        <v>证券卖出</v>
      </c>
      <c r="D14" s="4" t="str">
        <f t="shared" si="10"/>
        <v>000601</v>
      </c>
      <c r="E14" s="4" t="str">
        <f t="shared" si="11"/>
        <v>韶能股份</v>
      </c>
      <c r="F14" s="4">
        <v>7.5</v>
      </c>
      <c r="G14" s="4">
        <v>2700</v>
      </c>
      <c r="H14" s="4">
        <v>20250</v>
      </c>
      <c r="I14" s="4">
        <v>20223.47</v>
      </c>
      <c r="J14" s="4">
        <v>20822.01</v>
      </c>
      <c r="K14" s="4">
        <v>19400</v>
      </c>
      <c r="L14" s="4" t="str">
        <f t="shared" si="0"/>
        <v>人民币</v>
      </c>
      <c r="M14" s="4" t="str">
        <f>"T4005872"</f>
        <v>T4005872</v>
      </c>
      <c r="N14" s="4" t="str">
        <f t="shared" si="7"/>
        <v>0149593788</v>
      </c>
      <c r="O14" s="4" t="str">
        <f t="shared" si="1"/>
        <v>300100052893</v>
      </c>
    </row>
    <row r="15" spans="1:15">
      <c r="A15" s="4" t="str">
        <f t="shared" si="12"/>
        <v>20170510</v>
      </c>
      <c r="B15" s="4" t="str">
        <f t="shared" si="13"/>
        <v>20170510</v>
      </c>
      <c r="C15" s="4" t="str">
        <f t="shared" si="9"/>
        <v>证券买入</v>
      </c>
      <c r="D15" s="4" t="str">
        <f t="shared" si="10"/>
        <v>000601</v>
      </c>
      <c r="E15" s="4" t="str">
        <f t="shared" si="11"/>
        <v>韶能股份</v>
      </c>
      <c r="F15" s="4">
        <v>7.46</v>
      </c>
      <c r="G15" s="4">
        <v>2700</v>
      </c>
      <c r="H15" s="4">
        <v>20142</v>
      </c>
      <c r="I15" s="4">
        <v>-20148.24</v>
      </c>
      <c r="J15" s="4">
        <v>673.77</v>
      </c>
      <c r="K15" s="4">
        <v>22100</v>
      </c>
      <c r="L15" s="4" t="str">
        <f t="shared" si="0"/>
        <v>人民币</v>
      </c>
      <c r="M15" s="4" t="str">
        <f>"T4006712"</f>
        <v>T4006712</v>
      </c>
      <c r="N15" s="4" t="str">
        <f t="shared" si="7"/>
        <v>0149593788</v>
      </c>
      <c r="O15" s="4" t="str">
        <f t="shared" si="1"/>
        <v>300100052893</v>
      </c>
    </row>
    <row r="16" spans="1:15">
      <c r="A16" s="4" t="str">
        <f t="shared" si="12"/>
        <v>20170510</v>
      </c>
      <c r="B16" s="4" t="str">
        <f t="shared" si="13"/>
        <v>20170510</v>
      </c>
      <c r="C16" s="4" t="str">
        <f t="shared" si="8"/>
        <v>证券卖出</v>
      </c>
      <c r="D16" s="4" t="str">
        <f t="shared" si="10"/>
        <v>000601</v>
      </c>
      <c r="E16" s="4" t="str">
        <f t="shared" si="11"/>
        <v>韶能股份</v>
      </c>
      <c r="F16" s="4">
        <v>7.39</v>
      </c>
      <c r="G16" s="4">
        <v>2700</v>
      </c>
      <c r="H16" s="4">
        <v>19953</v>
      </c>
      <c r="I16" s="4">
        <v>19926.86</v>
      </c>
      <c r="J16" s="4">
        <v>20600.63</v>
      </c>
      <c r="K16" s="4">
        <v>19400</v>
      </c>
      <c r="L16" s="4" t="str">
        <f t="shared" si="0"/>
        <v>人民币</v>
      </c>
      <c r="M16" s="4" t="str">
        <f>"T4009441"</f>
        <v>T4009441</v>
      </c>
      <c r="N16" s="4" t="str">
        <f t="shared" si="7"/>
        <v>0149593788</v>
      </c>
      <c r="O16" s="4" t="str">
        <f t="shared" si="1"/>
        <v>300100052893</v>
      </c>
    </row>
    <row r="17" spans="1:15">
      <c r="A17" s="4" t="str">
        <f t="shared" si="12"/>
        <v>20170510</v>
      </c>
      <c r="B17" s="4" t="str">
        <f t="shared" si="13"/>
        <v>20170510</v>
      </c>
      <c r="C17" s="4" t="str">
        <f t="shared" si="9"/>
        <v>证券买入</v>
      </c>
      <c r="D17" s="4" t="str">
        <f t="shared" si="10"/>
        <v>000601</v>
      </c>
      <c r="E17" s="4" t="str">
        <f t="shared" si="11"/>
        <v>韶能股份</v>
      </c>
      <c r="F17" s="4">
        <v>7.31</v>
      </c>
      <c r="G17" s="4">
        <v>2800</v>
      </c>
      <c r="H17" s="4">
        <v>20468</v>
      </c>
      <c r="I17" s="4">
        <v>-20474.35</v>
      </c>
      <c r="J17" s="4">
        <v>126.28</v>
      </c>
      <c r="K17" s="4">
        <v>22200</v>
      </c>
      <c r="L17" s="4" t="str">
        <f t="shared" si="0"/>
        <v>人民币</v>
      </c>
      <c r="M17" s="4" t="str">
        <f>"T4011019"</f>
        <v>T4011019</v>
      </c>
      <c r="N17" s="4" t="str">
        <f t="shared" si="7"/>
        <v>0149593788</v>
      </c>
      <c r="O17" s="4" t="str">
        <f t="shared" si="1"/>
        <v>300100052893</v>
      </c>
    </row>
    <row r="18" spans="1:15">
      <c r="A18" s="4" t="str">
        <f>"20170602"</f>
        <v>20170602</v>
      </c>
      <c r="B18" s="4" t="str">
        <f>"20170602"</f>
        <v>20170602</v>
      </c>
      <c r="C18" s="4" t="str">
        <f>"红利入账"</f>
        <v>红利入账</v>
      </c>
      <c r="D18" s="4" t="str">
        <f>"002183"</f>
        <v>002183</v>
      </c>
      <c r="E18" s="4" t="str">
        <f>"怡 亚 通"</f>
        <v>怡 亚 通</v>
      </c>
      <c r="F18" s="4">
        <v>0</v>
      </c>
      <c r="G18" s="4">
        <v>0</v>
      </c>
      <c r="H18" s="4">
        <v>400</v>
      </c>
      <c r="I18" s="4">
        <v>400</v>
      </c>
      <c r="J18" s="4">
        <v>526.28</v>
      </c>
      <c r="K18" s="4">
        <v>0</v>
      </c>
      <c r="L18" s="4" t="str">
        <f t="shared" si="0"/>
        <v>人民币</v>
      </c>
      <c r="N18" s="4" t="str">
        <f t="shared" si="7"/>
        <v>0149593788</v>
      </c>
      <c r="O18" s="4" t="str">
        <f t="shared" si="1"/>
        <v>300100052893</v>
      </c>
    </row>
    <row r="19" spans="1:15">
      <c r="A19" s="4" t="str">
        <f t="shared" ref="A19:A21" si="14">"20170615"</f>
        <v>20170615</v>
      </c>
      <c r="B19" s="4" t="str">
        <f t="shared" ref="B19:B21" si="15">"20170615"</f>
        <v>20170615</v>
      </c>
      <c r="C19" s="4" t="str">
        <f>"银行转证券"</f>
        <v>银行转证券</v>
      </c>
      <c r="F19" s="4">
        <v>0</v>
      </c>
      <c r="G19" s="4">
        <v>0</v>
      </c>
      <c r="H19" s="4">
        <v>0</v>
      </c>
      <c r="I19" s="4">
        <v>20318.17</v>
      </c>
      <c r="J19" s="4">
        <v>20844.45</v>
      </c>
      <c r="K19" s="4">
        <v>0</v>
      </c>
      <c r="L19" s="4" t="str">
        <f t="shared" si="0"/>
        <v>人民币</v>
      </c>
      <c r="O19" s="4" t="str">
        <f t="shared" si="1"/>
        <v>300100052893</v>
      </c>
    </row>
    <row r="20" spans="1:15">
      <c r="A20" s="4" t="str">
        <f t="shared" si="14"/>
        <v>20170615</v>
      </c>
      <c r="B20" s="4" t="str">
        <f t="shared" si="15"/>
        <v>20170615</v>
      </c>
      <c r="C20" s="4" t="str">
        <f>"基金申购拨出"</f>
        <v>基金申购拨出</v>
      </c>
      <c r="D20" s="4" t="str">
        <f>"AA0007"</f>
        <v>AA0007</v>
      </c>
      <c r="E20" s="4" t="str">
        <f>"银河水星1号集合"</f>
        <v>银河水星1号集合</v>
      </c>
      <c r="F20" s="4">
        <v>0</v>
      </c>
      <c r="G20" s="4">
        <v>0</v>
      </c>
      <c r="H20" s="4">
        <v>0</v>
      </c>
      <c r="I20" s="4">
        <v>-5138.45</v>
      </c>
      <c r="J20" s="4">
        <v>15706</v>
      </c>
      <c r="K20" s="4">
        <v>0</v>
      </c>
      <c r="L20" s="4" t="str">
        <f t="shared" si="0"/>
        <v>人民币</v>
      </c>
      <c r="N20" s="4" t="str">
        <f>"980149593788"</f>
        <v>980149593788</v>
      </c>
      <c r="O20" s="4" t="str">
        <f t="shared" si="1"/>
        <v>300100052893</v>
      </c>
    </row>
    <row r="21" spans="1:15">
      <c r="A21" s="4" t="str">
        <f t="shared" si="14"/>
        <v>20170615</v>
      </c>
      <c r="B21" s="4" t="str">
        <f t="shared" si="15"/>
        <v>20170615</v>
      </c>
      <c r="C21" s="4" t="str">
        <f>"证券买入"</f>
        <v>证券买入</v>
      </c>
      <c r="D21" s="4" t="str">
        <f t="shared" ref="D21:D24" si="16">"150182"</f>
        <v>150182</v>
      </c>
      <c r="E21" s="4" t="str">
        <f t="shared" ref="E21:E24" si="17">"军工B"</f>
        <v>军工B</v>
      </c>
      <c r="F21" s="4">
        <v>0.785</v>
      </c>
      <c r="G21" s="4">
        <v>20000</v>
      </c>
      <c r="H21" s="4">
        <v>15700</v>
      </c>
      <c r="I21" s="4">
        <v>-15705</v>
      </c>
      <c r="J21" s="4">
        <v>1</v>
      </c>
      <c r="K21" s="4">
        <v>20000</v>
      </c>
      <c r="L21" s="4" t="str">
        <f t="shared" si="0"/>
        <v>人民币</v>
      </c>
      <c r="M21" s="4" t="str">
        <f>"T4010349"</f>
        <v>T4010349</v>
      </c>
      <c r="N21" s="4" t="str">
        <f t="shared" ref="N21:N24" si="18">"0149593788"</f>
        <v>0149593788</v>
      </c>
      <c r="O21" s="4" t="str">
        <f t="shared" si="1"/>
        <v>300100052893</v>
      </c>
    </row>
    <row r="22" spans="1:15">
      <c r="A22" s="4" t="str">
        <f t="shared" ref="A22:A24" si="19">"20170619"</f>
        <v>20170619</v>
      </c>
      <c r="B22" s="4" t="str">
        <f t="shared" ref="B22:B24" si="20">"20170619"</f>
        <v>20170619</v>
      </c>
      <c r="C22" s="4" t="str">
        <f>"基金申购拨出"</f>
        <v>基金申购拨出</v>
      </c>
      <c r="D22" s="4" t="str">
        <f>"AA0007"</f>
        <v>AA0007</v>
      </c>
      <c r="E22" s="4" t="str">
        <f>"银河水星1号集合"</f>
        <v>银河水星1号集合</v>
      </c>
      <c r="F22" s="4">
        <v>0</v>
      </c>
      <c r="G22" s="4">
        <v>0</v>
      </c>
      <c r="H22" s="4">
        <v>0</v>
      </c>
      <c r="I22" s="4">
        <v>-11385.2</v>
      </c>
      <c r="J22" s="4">
        <v>-11384.2</v>
      </c>
      <c r="K22" s="4">
        <v>0</v>
      </c>
      <c r="L22" s="4" t="str">
        <f t="shared" si="0"/>
        <v>人民币</v>
      </c>
      <c r="N22" s="4" t="str">
        <f>"980149593788"</f>
        <v>980149593788</v>
      </c>
      <c r="O22" s="4" t="str">
        <f t="shared" si="1"/>
        <v>300100052893</v>
      </c>
    </row>
    <row r="23" spans="1:15">
      <c r="A23" s="4" t="str">
        <f t="shared" si="19"/>
        <v>20170619</v>
      </c>
      <c r="B23" s="4" t="str">
        <f t="shared" si="20"/>
        <v>20170619</v>
      </c>
      <c r="C23" s="4" t="str">
        <f>"证券买入"</f>
        <v>证券买入</v>
      </c>
      <c r="D23" s="4" t="str">
        <f t="shared" si="16"/>
        <v>150182</v>
      </c>
      <c r="E23" s="4" t="str">
        <f t="shared" si="17"/>
        <v>军工B</v>
      </c>
      <c r="F23" s="4">
        <v>0.827</v>
      </c>
      <c r="G23" s="4">
        <v>6100</v>
      </c>
      <c r="H23" s="4">
        <v>5044.7</v>
      </c>
      <c r="I23" s="4">
        <v>-5049.7</v>
      </c>
      <c r="J23" s="4">
        <v>-16433.9</v>
      </c>
      <c r="K23" s="4">
        <v>26100</v>
      </c>
      <c r="L23" s="4" t="str">
        <f t="shared" si="0"/>
        <v>人民币</v>
      </c>
      <c r="M23" s="4" t="str">
        <f>"T4002373"</f>
        <v>T4002373</v>
      </c>
      <c r="N23" s="4" t="str">
        <f t="shared" si="18"/>
        <v>0149593788</v>
      </c>
      <c r="O23" s="4" t="str">
        <f t="shared" si="1"/>
        <v>300100052893</v>
      </c>
    </row>
    <row r="24" spans="1:15">
      <c r="A24" s="4" t="str">
        <f t="shared" si="19"/>
        <v>20170619</v>
      </c>
      <c r="B24" s="4" t="str">
        <f t="shared" si="20"/>
        <v>20170619</v>
      </c>
      <c r="C24" s="4" t="str">
        <f>"证券卖出"</f>
        <v>证券卖出</v>
      </c>
      <c r="D24" s="4" t="str">
        <f t="shared" si="16"/>
        <v>150182</v>
      </c>
      <c r="E24" s="4" t="str">
        <f t="shared" si="17"/>
        <v>军工B</v>
      </c>
      <c r="F24" s="4">
        <v>0.822</v>
      </c>
      <c r="G24" s="4">
        <v>20000</v>
      </c>
      <c r="H24" s="4">
        <v>16440</v>
      </c>
      <c r="I24" s="4">
        <v>16434.9</v>
      </c>
      <c r="J24" s="4">
        <v>1</v>
      </c>
      <c r="K24" s="4">
        <v>6100</v>
      </c>
      <c r="L24" s="4" t="str">
        <f t="shared" si="0"/>
        <v>人民币</v>
      </c>
      <c r="M24" s="4" t="str">
        <f>"T4005238"</f>
        <v>T4005238</v>
      </c>
      <c r="N24" s="4" t="str">
        <f t="shared" si="18"/>
        <v>0149593788</v>
      </c>
      <c r="O24" s="4" t="str">
        <f t="shared" si="1"/>
        <v>300100052893</v>
      </c>
    </row>
    <row r="25" spans="1:15">
      <c r="A25" s="4" t="str">
        <f t="shared" ref="A25:A27" si="21">"20170620"</f>
        <v>20170620</v>
      </c>
      <c r="B25" s="4" t="str">
        <f t="shared" ref="B25:B27" si="22">"20170620"</f>
        <v>20170620</v>
      </c>
      <c r="C25" s="4" t="str">
        <f>"利息归本"</f>
        <v>利息归本</v>
      </c>
      <c r="F25" s="4">
        <v>0</v>
      </c>
      <c r="G25" s="4">
        <v>0</v>
      </c>
      <c r="H25" s="4">
        <v>0</v>
      </c>
      <c r="I25" s="4">
        <v>2.18</v>
      </c>
      <c r="J25" s="4">
        <v>3.18</v>
      </c>
      <c r="K25" s="4">
        <v>0</v>
      </c>
      <c r="L25" s="4" t="str">
        <f t="shared" si="0"/>
        <v>人民币</v>
      </c>
      <c r="O25" s="4" t="str">
        <f t="shared" si="1"/>
        <v>300100052893</v>
      </c>
    </row>
    <row r="26" spans="1:15">
      <c r="A26" s="4" t="str">
        <f t="shared" si="21"/>
        <v>20170620</v>
      </c>
      <c r="B26" s="4" t="str">
        <f t="shared" si="22"/>
        <v>20170620</v>
      </c>
      <c r="C26" s="4" t="str">
        <f>"基金申购拨出"</f>
        <v>基金申购拨出</v>
      </c>
      <c r="D26" s="4" t="str">
        <f t="shared" ref="D26:D29" si="23">"AA0007"</f>
        <v>AA0007</v>
      </c>
      <c r="E26" s="4" t="str">
        <f t="shared" ref="E26:E29" si="24">"银河水星1号集合"</f>
        <v>银河水星1号集合</v>
      </c>
      <c r="F26" s="4">
        <v>0</v>
      </c>
      <c r="G26" s="4">
        <v>0</v>
      </c>
      <c r="H26" s="4">
        <v>0</v>
      </c>
      <c r="I26" s="4">
        <v>-5015.3</v>
      </c>
      <c r="J26" s="4">
        <v>-5012.12</v>
      </c>
      <c r="K26" s="4">
        <v>0</v>
      </c>
      <c r="L26" s="4" t="str">
        <f t="shared" si="0"/>
        <v>人民币</v>
      </c>
      <c r="N26" s="4" t="str">
        <f t="shared" ref="N26:N29" si="25">"980149593788"</f>
        <v>980149593788</v>
      </c>
      <c r="O26" s="4" t="str">
        <f t="shared" si="1"/>
        <v>300100052893</v>
      </c>
    </row>
    <row r="27" spans="1:15">
      <c r="A27" s="4" t="str">
        <f t="shared" si="21"/>
        <v>20170620</v>
      </c>
      <c r="B27" s="4" t="str">
        <f t="shared" si="22"/>
        <v>20170620</v>
      </c>
      <c r="C27" s="4" t="str">
        <f>"证券卖出"</f>
        <v>证券卖出</v>
      </c>
      <c r="D27" s="4" t="str">
        <f t="shared" ref="D27:D32" si="26">"150182"</f>
        <v>150182</v>
      </c>
      <c r="E27" s="4" t="str">
        <f t="shared" ref="E27:E32" si="27">"军工B"</f>
        <v>军工B</v>
      </c>
      <c r="F27" s="4">
        <v>0.823</v>
      </c>
      <c r="G27" s="4">
        <v>6100</v>
      </c>
      <c r="H27" s="4">
        <v>5020.3</v>
      </c>
      <c r="I27" s="4">
        <v>5015.3</v>
      </c>
      <c r="J27" s="4">
        <v>3.18</v>
      </c>
      <c r="K27" s="4">
        <v>0</v>
      </c>
      <c r="L27" s="4" t="str">
        <f t="shared" si="0"/>
        <v>人民币</v>
      </c>
      <c r="M27" s="4" t="str">
        <f>"T4001042"</f>
        <v>T4001042</v>
      </c>
      <c r="N27" s="4" t="str">
        <f t="shared" ref="N27:N32" si="28">"0149593788"</f>
        <v>0149593788</v>
      </c>
      <c r="O27" s="4" t="str">
        <f t="shared" si="1"/>
        <v>300100052893</v>
      </c>
    </row>
    <row r="28" spans="1:15">
      <c r="A28" s="4" t="str">
        <f>"20170622"</f>
        <v>20170622</v>
      </c>
      <c r="B28" s="4" t="str">
        <f>"0"</f>
        <v>0</v>
      </c>
      <c r="C28" s="4" t="str">
        <f>"基金红利拨入"</f>
        <v>基金红利拨入</v>
      </c>
      <c r="D28" s="4" t="str">
        <f t="shared" si="23"/>
        <v>AA0007</v>
      </c>
      <c r="E28" s="4" t="str">
        <f t="shared" si="24"/>
        <v>银河水星1号集合</v>
      </c>
      <c r="F28" s="4">
        <v>0</v>
      </c>
      <c r="G28" s="4">
        <v>0</v>
      </c>
      <c r="H28" s="4">
        <v>109.59</v>
      </c>
      <c r="I28" s="4">
        <v>109.59</v>
      </c>
      <c r="J28" s="4">
        <v>112.77</v>
      </c>
      <c r="K28" s="4">
        <v>0</v>
      </c>
      <c r="L28" s="4" t="str">
        <f t="shared" si="0"/>
        <v>人民币</v>
      </c>
      <c r="N28" s="4" t="str">
        <f t="shared" si="25"/>
        <v>980149593788</v>
      </c>
      <c r="O28" s="4" t="str">
        <f t="shared" si="1"/>
        <v>300100052893</v>
      </c>
    </row>
    <row r="29" spans="1:15">
      <c r="A29" s="4" t="str">
        <f>"20170623"</f>
        <v>20170623</v>
      </c>
      <c r="B29" s="4" t="str">
        <f>"20170623"</f>
        <v>20170623</v>
      </c>
      <c r="C29" s="4" t="str">
        <f>"基金赎回拨入"</f>
        <v>基金赎回拨入</v>
      </c>
      <c r="D29" s="4" t="str">
        <f t="shared" si="23"/>
        <v>AA0007</v>
      </c>
      <c r="E29" s="4" t="str">
        <f t="shared" si="24"/>
        <v>银河水星1号集合</v>
      </c>
      <c r="F29" s="4">
        <v>0</v>
      </c>
      <c r="G29" s="4">
        <v>15773</v>
      </c>
      <c r="H29" s="4">
        <v>0</v>
      </c>
      <c r="I29" s="4">
        <v>15773.23</v>
      </c>
      <c r="J29" s="4">
        <v>15886</v>
      </c>
      <c r="K29" s="4">
        <v>0</v>
      </c>
      <c r="L29" s="4" t="str">
        <f t="shared" si="0"/>
        <v>人民币</v>
      </c>
      <c r="N29" s="4" t="str">
        <f t="shared" si="25"/>
        <v>980149593788</v>
      </c>
      <c r="O29" s="4" t="str">
        <f t="shared" si="1"/>
        <v>300100052893</v>
      </c>
    </row>
    <row r="30" spans="1:15">
      <c r="A30" s="4" t="str">
        <f>"20170623"</f>
        <v>20170623</v>
      </c>
      <c r="B30" s="4" t="str">
        <f>"20170623"</f>
        <v>20170623</v>
      </c>
      <c r="C30" s="4" t="str">
        <f>"证券买入"</f>
        <v>证券买入</v>
      </c>
      <c r="D30" s="4" t="str">
        <f t="shared" si="26"/>
        <v>150182</v>
      </c>
      <c r="E30" s="4" t="str">
        <f t="shared" si="27"/>
        <v>军工B</v>
      </c>
      <c r="F30" s="4">
        <v>0.794</v>
      </c>
      <c r="G30" s="4">
        <v>20000</v>
      </c>
      <c r="H30" s="4">
        <v>15880</v>
      </c>
      <c r="I30" s="4">
        <v>-15885</v>
      </c>
      <c r="J30" s="4">
        <v>1</v>
      </c>
      <c r="K30" s="4">
        <v>20000</v>
      </c>
      <c r="L30" s="4" t="str">
        <f t="shared" si="0"/>
        <v>人民币</v>
      </c>
      <c r="M30" s="4" t="str">
        <f>"T4010981"</f>
        <v>T4010981</v>
      </c>
      <c r="N30" s="4" t="str">
        <f t="shared" si="28"/>
        <v>0149593788</v>
      </c>
      <c r="O30" s="4" t="str">
        <f t="shared" si="1"/>
        <v>300100052893</v>
      </c>
    </row>
    <row r="31" spans="1:15">
      <c r="A31" s="4" t="str">
        <f>"20170626"</f>
        <v>20170626</v>
      </c>
      <c r="B31" s="4" t="str">
        <f>"20170626"</f>
        <v>20170626</v>
      </c>
      <c r="C31" s="4" t="str">
        <f>"基金申购拨出"</f>
        <v>基金申购拨出</v>
      </c>
      <c r="D31" s="4" t="str">
        <f>"AA0007"</f>
        <v>AA0007</v>
      </c>
      <c r="E31" s="4" t="str">
        <f>"银河水星1号集合"</f>
        <v>银河水星1号集合</v>
      </c>
      <c r="F31" s="4">
        <v>0</v>
      </c>
      <c r="G31" s="4">
        <v>0</v>
      </c>
      <c r="H31" s="4">
        <v>0</v>
      </c>
      <c r="I31" s="4">
        <v>-16374.92</v>
      </c>
      <c r="J31" s="4">
        <v>-16373.92</v>
      </c>
      <c r="K31" s="4">
        <v>0</v>
      </c>
      <c r="L31" s="4" t="str">
        <f t="shared" si="0"/>
        <v>人民币</v>
      </c>
      <c r="N31" s="4" t="str">
        <f>"980149593788"</f>
        <v>980149593788</v>
      </c>
      <c r="O31" s="4" t="str">
        <f t="shared" si="1"/>
        <v>300100052893</v>
      </c>
    </row>
    <row r="32" spans="1:15">
      <c r="A32" s="4" t="str">
        <f>"20170626"</f>
        <v>20170626</v>
      </c>
      <c r="B32" s="4" t="str">
        <f>"20170626"</f>
        <v>20170626</v>
      </c>
      <c r="C32" s="4" t="str">
        <f>"证券卖出"</f>
        <v>证券卖出</v>
      </c>
      <c r="D32" s="4" t="str">
        <f t="shared" si="26"/>
        <v>150182</v>
      </c>
      <c r="E32" s="4" t="str">
        <f t="shared" si="27"/>
        <v>军工B</v>
      </c>
      <c r="F32" s="4">
        <v>0.819</v>
      </c>
      <c r="G32" s="4">
        <v>20000</v>
      </c>
      <c r="H32" s="4">
        <v>16380</v>
      </c>
      <c r="I32" s="4">
        <v>16374.92</v>
      </c>
      <c r="J32" s="4">
        <v>1</v>
      </c>
      <c r="K32" s="4">
        <v>0</v>
      </c>
      <c r="L32" s="4" t="str">
        <f t="shared" si="0"/>
        <v>人民币</v>
      </c>
      <c r="M32" s="4" t="str">
        <f>"T4006347"</f>
        <v>T4006347</v>
      </c>
      <c r="N32" s="4" t="str">
        <f t="shared" si="28"/>
        <v>0149593788</v>
      </c>
      <c r="O32" s="4" t="str">
        <f t="shared" si="1"/>
        <v>300100052893</v>
      </c>
    </row>
    <row r="33" spans="1:15">
      <c r="A33" s="4" t="str">
        <f>"20170629"</f>
        <v>20170629</v>
      </c>
      <c r="B33" s="4" t="str">
        <f>"20170629"</f>
        <v>20170629</v>
      </c>
      <c r="C33" s="4" t="str">
        <f>"基金赎回拨入"</f>
        <v>基金赎回拨入</v>
      </c>
      <c r="D33" s="4" t="str">
        <f>"AA0007"</f>
        <v>AA0007</v>
      </c>
      <c r="E33" s="4" t="str">
        <f>"银河水星1号集合"</f>
        <v>银河水星1号集合</v>
      </c>
      <c r="F33" s="4">
        <v>0</v>
      </c>
      <c r="G33" s="4">
        <v>22140</v>
      </c>
      <c r="H33" s="4">
        <v>0</v>
      </c>
      <c r="I33" s="4">
        <v>22140.64</v>
      </c>
      <c r="J33" s="4">
        <v>22141.64</v>
      </c>
      <c r="K33" s="4">
        <v>0</v>
      </c>
      <c r="L33" s="4" t="str">
        <f t="shared" si="0"/>
        <v>人民币</v>
      </c>
      <c r="N33" s="4" t="str">
        <f>"980149593788"</f>
        <v>980149593788</v>
      </c>
      <c r="O33" s="4" t="str">
        <f t="shared" si="1"/>
        <v>300100052893</v>
      </c>
    </row>
    <row r="34" spans="1:15">
      <c r="A34" s="4" t="str">
        <f>"20170629"</f>
        <v>20170629</v>
      </c>
      <c r="B34" s="4" t="str">
        <f>"20170629"</f>
        <v>20170629</v>
      </c>
      <c r="C34" s="4" t="str">
        <f>"证券买入"</f>
        <v>证券买入</v>
      </c>
      <c r="D34" s="4" t="str">
        <f>"000601"</f>
        <v>000601</v>
      </c>
      <c r="E34" s="4" t="str">
        <f>"韶能股份"</f>
        <v>韶能股份</v>
      </c>
      <c r="F34" s="4">
        <v>7.16</v>
      </c>
      <c r="G34" s="4">
        <v>3000</v>
      </c>
      <c r="H34" s="4">
        <v>21480</v>
      </c>
      <c r="I34" s="4">
        <v>-21486.66</v>
      </c>
      <c r="J34" s="4">
        <v>654.98</v>
      </c>
      <c r="K34" s="4">
        <v>25200</v>
      </c>
      <c r="L34" s="4" t="str">
        <f t="shared" si="0"/>
        <v>人民币</v>
      </c>
      <c r="M34" s="4" t="str">
        <f>"T4005453"</f>
        <v>T4005453</v>
      </c>
      <c r="N34" s="4" t="str">
        <f>"0149593788"</f>
        <v>0149593788</v>
      </c>
      <c r="O34" s="4" t="str">
        <f t="shared" si="1"/>
        <v>300100052893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2"/>
  <sheetViews>
    <sheetView topLeftCell="A130" workbookViewId="0">
      <selection activeCell="A2" sqref="A2:K142"/>
    </sheetView>
  </sheetViews>
  <sheetFormatPr defaultColWidth="9" defaultRowHeight="13.5"/>
  <cols>
    <col min="1" max="16384" width="9" style="4"/>
  </cols>
  <sheetData>
    <row r="1" spans="1:15">
      <c r="A1" s="4" t="str">
        <f>"购买日期"</f>
        <v>购买日期</v>
      </c>
      <c r="B1" s="4" t="str">
        <f>"委托日期"</f>
        <v>委托日期</v>
      </c>
      <c r="C1" s="4" t="str">
        <f>"业务类型"</f>
        <v>业务类型</v>
      </c>
      <c r="D1" s="4" t="str">
        <f>"证券代码"</f>
        <v>证券代码</v>
      </c>
      <c r="E1" s="4" t="str">
        <f>"证券名称"</f>
        <v>证券名称</v>
      </c>
      <c r="F1" s="4" t="str">
        <f>"成交价格"</f>
        <v>成交价格</v>
      </c>
      <c r="G1" s="4" t="str">
        <f>"成交数量"</f>
        <v>成交数量</v>
      </c>
      <c r="H1" s="4" t="str">
        <f>"成交金额"</f>
        <v>成交金额</v>
      </c>
      <c r="I1" s="4" t="str">
        <f>"发生金额"</f>
        <v>发生金额</v>
      </c>
      <c r="J1" s="4" t="str">
        <f>"资金余额"</f>
        <v>资金余额</v>
      </c>
      <c r="K1" s="4" t="str">
        <f>"当前持仓"</f>
        <v>当前持仓</v>
      </c>
      <c r="L1" s="4" t="str">
        <f>"币种"</f>
        <v>币种</v>
      </c>
      <c r="M1" s="4" t="str">
        <f>"协议编号"</f>
        <v>协议编号</v>
      </c>
      <c r="N1" s="4" t="str">
        <f>"股东代码"</f>
        <v>股东代码</v>
      </c>
      <c r="O1" s="4" t="str">
        <f>"产品账号"</f>
        <v>产品账号</v>
      </c>
    </row>
    <row r="2" spans="1:15">
      <c r="A2" s="4" t="str">
        <f>"20170704"</f>
        <v>20170704</v>
      </c>
      <c r="B2" s="4" t="str">
        <f>"20170704"</f>
        <v>20170704</v>
      </c>
      <c r="C2" s="4" t="str">
        <f>"红利入账"</f>
        <v>红利入账</v>
      </c>
      <c r="D2" s="4" t="str">
        <f>"600219"</f>
        <v>600219</v>
      </c>
      <c r="E2" s="4" t="str">
        <f>"南山铝业"</f>
        <v>南山铝业</v>
      </c>
      <c r="F2" s="4">
        <v>0</v>
      </c>
      <c r="G2" s="4">
        <v>11250</v>
      </c>
      <c r="H2" s="4">
        <v>562.5</v>
      </c>
      <c r="I2" s="4">
        <v>562.5</v>
      </c>
      <c r="J2" s="4">
        <v>1217.48</v>
      </c>
      <c r="K2" s="4">
        <v>0</v>
      </c>
      <c r="L2" s="4" t="str">
        <f t="shared" ref="L2:L65" si="0">"人民币"</f>
        <v>人民币</v>
      </c>
      <c r="N2" s="4" t="str">
        <f>"A368402599"</f>
        <v>A368402599</v>
      </c>
      <c r="O2" s="4" t="str">
        <f t="shared" ref="O2:O65" si="1">"300100052893"</f>
        <v>300100052893</v>
      </c>
    </row>
    <row r="3" spans="1:15">
      <c r="A3" s="4" t="str">
        <f>"20170705"</f>
        <v>20170705</v>
      </c>
      <c r="B3" s="4" t="str">
        <f>"20170705"</f>
        <v>20170705</v>
      </c>
      <c r="C3" s="4" t="str">
        <f>"基金申购拨出"</f>
        <v>基金申购拨出</v>
      </c>
      <c r="D3" s="4" t="str">
        <f t="shared" ref="D3:D8" si="2">"AA0007"</f>
        <v>AA0007</v>
      </c>
      <c r="E3" s="4" t="str">
        <f t="shared" ref="E3:E8" si="3">"银河水星1号集合"</f>
        <v>银河水星1号集合</v>
      </c>
      <c r="F3" s="4">
        <v>0</v>
      </c>
      <c r="G3" s="4">
        <v>0</v>
      </c>
      <c r="H3" s="4">
        <v>0</v>
      </c>
      <c r="I3" s="4">
        <v>-1217.48</v>
      </c>
      <c r="J3" s="4">
        <v>0</v>
      </c>
      <c r="K3" s="4">
        <v>0</v>
      </c>
      <c r="L3" s="4" t="str">
        <f t="shared" si="0"/>
        <v>人民币</v>
      </c>
      <c r="N3" s="4" t="str">
        <f t="shared" ref="N3:N8" si="4">"980149593788"</f>
        <v>980149593788</v>
      </c>
      <c r="O3" s="4" t="str">
        <f t="shared" si="1"/>
        <v>300100052893</v>
      </c>
    </row>
    <row r="4" spans="1:15">
      <c r="A4" s="4" t="str">
        <f t="shared" ref="A4:A7" si="5">"20170719"</f>
        <v>20170719</v>
      </c>
      <c r="B4" s="4" t="str">
        <f t="shared" ref="B4:B7" si="6">"20170719"</f>
        <v>20170719</v>
      </c>
      <c r="C4" s="4" t="str">
        <f>"基金申购拨出"</f>
        <v>基金申购拨出</v>
      </c>
      <c r="D4" s="4" t="str">
        <f t="shared" si="2"/>
        <v>AA0007</v>
      </c>
      <c r="E4" s="4" t="str">
        <f t="shared" si="3"/>
        <v>银河水星1号集合</v>
      </c>
      <c r="F4" s="4">
        <v>0</v>
      </c>
      <c r="G4" s="4">
        <v>0</v>
      </c>
      <c r="H4" s="4">
        <v>0</v>
      </c>
      <c r="I4" s="4">
        <v>-7405.39</v>
      </c>
      <c r="J4" s="4">
        <v>-7405.39</v>
      </c>
      <c r="K4" s="4">
        <v>0</v>
      </c>
      <c r="L4" s="4" t="str">
        <f t="shared" si="0"/>
        <v>人民币</v>
      </c>
      <c r="N4" s="4" t="str">
        <f t="shared" si="4"/>
        <v>980149593788</v>
      </c>
      <c r="O4" s="4" t="str">
        <f t="shared" si="1"/>
        <v>300100052893</v>
      </c>
    </row>
    <row r="5" spans="1:15">
      <c r="A5" s="4" t="str">
        <f t="shared" si="5"/>
        <v>20170719</v>
      </c>
      <c r="B5" s="4" t="str">
        <f t="shared" si="6"/>
        <v>20170719</v>
      </c>
      <c r="C5" s="4" t="str">
        <f>"红利入账"</f>
        <v>红利入账</v>
      </c>
      <c r="D5" s="4" t="str">
        <f>"000601"</f>
        <v>000601</v>
      </c>
      <c r="E5" s="4" t="str">
        <f>"韶能股份"</f>
        <v>韶能股份</v>
      </c>
      <c r="F5" s="4">
        <v>0</v>
      </c>
      <c r="G5" s="4">
        <v>0</v>
      </c>
      <c r="H5" s="4">
        <v>4440</v>
      </c>
      <c r="I5" s="4">
        <v>4440</v>
      </c>
      <c r="J5" s="4">
        <v>-2965.39</v>
      </c>
      <c r="K5" s="4">
        <v>0</v>
      </c>
      <c r="L5" s="4" t="str">
        <f t="shared" si="0"/>
        <v>人民币</v>
      </c>
      <c r="N5" s="4" t="str">
        <f t="shared" ref="N5:N7" si="7">"0149593788"</f>
        <v>0149593788</v>
      </c>
      <c r="O5" s="4" t="str">
        <f t="shared" si="1"/>
        <v>300100052893</v>
      </c>
    </row>
    <row r="6" spans="1:15">
      <c r="A6" s="4" t="str">
        <f t="shared" si="5"/>
        <v>20170719</v>
      </c>
      <c r="B6" s="4" t="str">
        <f t="shared" si="6"/>
        <v>20170719</v>
      </c>
      <c r="C6" s="4" t="str">
        <f>"证券卖出"</f>
        <v>证券卖出</v>
      </c>
      <c r="D6" s="4" t="str">
        <f>"000601"</f>
        <v>000601</v>
      </c>
      <c r="E6" s="4" t="str">
        <f>"韶能股份"</f>
        <v>韶能股份</v>
      </c>
      <c r="F6" s="4">
        <v>7.28</v>
      </c>
      <c r="G6" s="4">
        <v>3000</v>
      </c>
      <c r="H6" s="4">
        <v>21840</v>
      </c>
      <c r="I6" s="4">
        <v>21811.39</v>
      </c>
      <c r="J6" s="4">
        <v>18846</v>
      </c>
      <c r="K6" s="4">
        <v>22200</v>
      </c>
      <c r="L6" s="4" t="str">
        <f t="shared" si="0"/>
        <v>人民币</v>
      </c>
      <c r="M6" s="4" t="str">
        <f>"T4006742"</f>
        <v>T4006742</v>
      </c>
      <c r="N6" s="4" t="str">
        <f t="shared" si="7"/>
        <v>0149593788</v>
      </c>
      <c r="O6" s="4" t="str">
        <f t="shared" si="1"/>
        <v>300100052893</v>
      </c>
    </row>
    <row r="7" spans="1:15">
      <c r="A7" s="4" t="str">
        <f t="shared" si="5"/>
        <v>20170719</v>
      </c>
      <c r="B7" s="4" t="str">
        <f t="shared" si="6"/>
        <v>20170719</v>
      </c>
      <c r="C7" s="4" t="str">
        <f t="shared" ref="C7:C11" si="8">"证券买入"</f>
        <v>证券买入</v>
      </c>
      <c r="D7" s="4" t="str">
        <f t="shared" ref="D7:D11" si="9">"150182"</f>
        <v>150182</v>
      </c>
      <c r="E7" s="4" t="str">
        <f t="shared" ref="E7:E11" si="10">"军工B"</f>
        <v>军工B</v>
      </c>
      <c r="F7" s="4">
        <v>0.72</v>
      </c>
      <c r="G7" s="4">
        <v>20000</v>
      </c>
      <c r="H7" s="4">
        <v>14400</v>
      </c>
      <c r="I7" s="4">
        <v>-14405</v>
      </c>
      <c r="J7" s="4">
        <v>4441</v>
      </c>
      <c r="K7" s="4">
        <v>20000</v>
      </c>
      <c r="L7" s="4" t="str">
        <f t="shared" si="0"/>
        <v>人民币</v>
      </c>
      <c r="M7" s="4" t="str">
        <f>"T4006821"</f>
        <v>T4006821</v>
      </c>
      <c r="N7" s="4" t="str">
        <f t="shared" si="7"/>
        <v>0149593788</v>
      </c>
      <c r="O7" s="4" t="str">
        <f t="shared" si="1"/>
        <v>300100052893</v>
      </c>
    </row>
    <row r="8" spans="1:15">
      <c r="A8" s="4" t="str">
        <f>"20170720"</f>
        <v>20170720</v>
      </c>
      <c r="B8" s="4" t="str">
        <f>"20170720"</f>
        <v>20170720</v>
      </c>
      <c r="C8" s="4" t="str">
        <f>"基金赎回拨入"</f>
        <v>基金赎回拨入</v>
      </c>
      <c r="D8" s="4" t="str">
        <f t="shared" si="2"/>
        <v>AA0007</v>
      </c>
      <c r="E8" s="4" t="str">
        <f t="shared" si="3"/>
        <v>银河水星1号集合</v>
      </c>
      <c r="F8" s="4">
        <v>0</v>
      </c>
      <c r="G8" s="4">
        <v>5785</v>
      </c>
      <c r="H8" s="4">
        <v>0</v>
      </c>
      <c r="I8" s="4">
        <v>5785</v>
      </c>
      <c r="J8" s="4">
        <v>10226</v>
      </c>
      <c r="K8" s="4">
        <v>0</v>
      </c>
      <c r="L8" s="4" t="str">
        <f t="shared" si="0"/>
        <v>人民币</v>
      </c>
      <c r="N8" s="4" t="str">
        <f t="shared" si="4"/>
        <v>980149593788</v>
      </c>
      <c r="O8" s="4" t="str">
        <f t="shared" si="1"/>
        <v>300100052893</v>
      </c>
    </row>
    <row r="9" spans="1:15">
      <c r="A9" s="4" t="str">
        <f>"20170720"</f>
        <v>20170720</v>
      </c>
      <c r="B9" s="4" t="str">
        <f>"20170720"</f>
        <v>20170720</v>
      </c>
      <c r="C9" s="4" t="str">
        <f t="shared" si="8"/>
        <v>证券买入</v>
      </c>
      <c r="D9" s="4" t="str">
        <f>"150153"</f>
        <v>150153</v>
      </c>
      <c r="E9" s="4" t="str">
        <f>"创业板B"</f>
        <v>创业板B</v>
      </c>
      <c r="F9" s="4">
        <v>0.511</v>
      </c>
      <c r="G9" s="4">
        <v>20000</v>
      </c>
      <c r="H9" s="4">
        <v>10220</v>
      </c>
      <c r="I9" s="4">
        <v>-10225</v>
      </c>
      <c r="J9" s="4">
        <v>1</v>
      </c>
      <c r="K9" s="4">
        <v>20000</v>
      </c>
      <c r="L9" s="4" t="str">
        <f t="shared" si="0"/>
        <v>人民币</v>
      </c>
      <c r="M9" s="4" t="str">
        <f>"T4003988"</f>
        <v>T4003988</v>
      </c>
      <c r="N9" s="4" t="str">
        <f t="shared" ref="N9:N11" si="11">"0149593788"</f>
        <v>0149593788</v>
      </c>
      <c r="O9" s="4" t="str">
        <f t="shared" si="1"/>
        <v>300100052893</v>
      </c>
    </row>
    <row r="10" spans="1:15">
      <c r="A10" s="4" t="str">
        <f>"20170721"</f>
        <v>20170721</v>
      </c>
      <c r="B10" s="4" t="str">
        <f>"20170721"</f>
        <v>20170721</v>
      </c>
      <c r="C10" s="4" t="str">
        <f t="shared" ref="C10:C14" si="12">"证券卖出"</f>
        <v>证券卖出</v>
      </c>
      <c r="D10" s="4" t="str">
        <f t="shared" si="9"/>
        <v>150182</v>
      </c>
      <c r="E10" s="4" t="str">
        <f t="shared" si="10"/>
        <v>军工B</v>
      </c>
      <c r="F10" s="4">
        <v>0.752</v>
      </c>
      <c r="G10" s="4">
        <v>20000</v>
      </c>
      <c r="H10" s="4">
        <v>15040</v>
      </c>
      <c r="I10" s="4">
        <v>15035</v>
      </c>
      <c r="J10" s="4">
        <v>15036</v>
      </c>
      <c r="K10" s="4">
        <v>0</v>
      </c>
      <c r="L10" s="4" t="str">
        <f t="shared" si="0"/>
        <v>人民币</v>
      </c>
      <c r="M10" s="4" t="str">
        <f>"T4004668"</f>
        <v>T4004668</v>
      </c>
      <c r="N10" s="4" t="str">
        <f t="shared" si="11"/>
        <v>0149593788</v>
      </c>
      <c r="O10" s="4" t="str">
        <f t="shared" si="1"/>
        <v>300100052893</v>
      </c>
    </row>
    <row r="11" spans="1:15">
      <c r="A11" s="4" t="str">
        <f>"20170721"</f>
        <v>20170721</v>
      </c>
      <c r="B11" s="4" t="str">
        <f>"20170721"</f>
        <v>20170721</v>
      </c>
      <c r="C11" s="4" t="str">
        <f t="shared" si="8"/>
        <v>证券买入</v>
      </c>
      <c r="D11" s="4" t="str">
        <f t="shared" si="9"/>
        <v>150182</v>
      </c>
      <c r="E11" s="4" t="str">
        <f t="shared" si="10"/>
        <v>军工B</v>
      </c>
      <c r="F11" s="4">
        <v>0.748</v>
      </c>
      <c r="G11" s="4">
        <v>20000</v>
      </c>
      <c r="H11" s="4">
        <v>14960</v>
      </c>
      <c r="I11" s="4">
        <v>-14965</v>
      </c>
      <c r="J11" s="4">
        <v>71</v>
      </c>
      <c r="K11" s="4">
        <v>20000</v>
      </c>
      <c r="L11" s="4" t="str">
        <f t="shared" si="0"/>
        <v>人民币</v>
      </c>
      <c r="M11" s="4" t="str">
        <f>"T4005562"</f>
        <v>T4005562</v>
      </c>
      <c r="N11" s="4" t="str">
        <f t="shared" si="11"/>
        <v>0149593788</v>
      </c>
      <c r="O11" s="4" t="str">
        <f t="shared" si="1"/>
        <v>300100052893</v>
      </c>
    </row>
    <row r="12" spans="1:15">
      <c r="A12" s="4" t="str">
        <f t="shared" ref="A12:A14" si="13">"20170724"</f>
        <v>20170724</v>
      </c>
      <c r="B12" s="4" t="str">
        <f t="shared" ref="B12:B14" si="14">"20170724"</f>
        <v>20170724</v>
      </c>
      <c r="C12" s="4" t="str">
        <f>"基金申购拨出"</f>
        <v>基金申购拨出</v>
      </c>
      <c r="D12" s="4" t="str">
        <f t="shared" ref="D12:D17" si="15">"AA0007"</f>
        <v>AA0007</v>
      </c>
      <c r="E12" s="4" t="str">
        <f t="shared" ref="E12:E17" si="16">"银河水星1号集合"</f>
        <v>银河水星1号集合</v>
      </c>
      <c r="F12" s="4">
        <v>0</v>
      </c>
      <c r="G12" s="4">
        <v>0</v>
      </c>
      <c r="H12" s="4">
        <v>0</v>
      </c>
      <c r="I12" s="4">
        <v>-24680</v>
      </c>
      <c r="J12" s="4">
        <v>-24609</v>
      </c>
      <c r="K12" s="4">
        <v>0</v>
      </c>
      <c r="L12" s="4" t="str">
        <f t="shared" si="0"/>
        <v>人民币</v>
      </c>
      <c r="N12" s="4" t="str">
        <f t="shared" ref="N12:N17" si="17">"980149593788"</f>
        <v>980149593788</v>
      </c>
      <c r="O12" s="4" t="str">
        <f t="shared" si="1"/>
        <v>300100052893</v>
      </c>
    </row>
    <row r="13" spans="1:15">
      <c r="A13" s="4" t="str">
        <f t="shared" si="13"/>
        <v>20170724</v>
      </c>
      <c r="B13" s="4" t="str">
        <f t="shared" si="14"/>
        <v>20170724</v>
      </c>
      <c r="C13" s="4" t="str">
        <f t="shared" si="12"/>
        <v>证券卖出</v>
      </c>
      <c r="D13" s="4" t="str">
        <f>"150153"</f>
        <v>150153</v>
      </c>
      <c r="E13" s="4" t="str">
        <f>"创业板B"</f>
        <v>创业板B</v>
      </c>
      <c r="F13" s="4">
        <v>0.486</v>
      </c>
      <c r="G13" s="4">
        <v>20000</v>
      </c>
      <c r="H13" s="4">
        <v>9720</v>
      </c>
      <c r="I13" s="4">
        <v>9715</v>
      </c>
      <c r="J13" s="4">
        <v>-14894</v>
      </c>
      <c r="K13" s="4">
        <v>0</v>
      </c>
      <c r="L13" s="4" t="str">
        <f t="shared" si="0"/>
        <v>人民币</v>
      </c>
      <c r="M13" s="4" t="str">
        <f>"T4003929"</f>
        <v>T4003929</v>
      </c>
      <c r="N13" s="4" t="str">
        <f t="shared" ref="N13:N16" si="18">"0149593788"</f>
        <v>0149593788</v>
      </c>
      <c r="O13" s="4" t="str">
        <f t="shared" si="1"/>
        <v>300100052893</v>
      </c>
    </row>
    <row r="14" spans="1:15">
      <c r="A14" s="4" t="str">
        <f t="shared" si="13"/>
        <v>20170724</v>
      </c>
      <c r="B14" s="4" t="str">
        <f t="shared" si="14"/>
        <v>20170724</v>
      </c>
      <c r="C14" s="4" t="str">
        <f t="shared" si="12"/>
        <v>证券卖出</v>
      </c>
      <c r="D14" s="4" t="str">
        <f>"150182"</f>
        <v>150182</v>
      </c>
      <c r="E14" s="4" t="str">
        <f>"军工B"</f>
        <v>军工B</v>
      </c>
      <c r="F14" s="4">
        <v>0.745</v>
      </c>
      <c r="G14" s="4">
        <v>20000</v>
      </c>
      <c r="H14" s="4">
        <v>14900</v>
      </c>
      <c r="I14" s="4">
        <v>14895</v>
      </c>
      <c r="J14" s="4">
        <v>1</v>
      </c>
      <c r="K14" s="4">
        <v>0</v>
      </c>
      <c r="L14" s="4" t="str">
        <f t="shared" si="0"/>
        <v>人民币</v>
      </c>
      <c r="M14" s="4" t="str">
        <f>"T4004185"</f>
        <v>T4004185</v>
      </c>
      <c r="N14" s="4" t="str">
        <f t="shared" si="18"/>
        <v>0149593788</v>
      </c>
      <c r="O14" s="4" t="str">
        <f t="shared" si="1"/>
        <v>300100052893</v>
      </c>
    </row>
    <row r="15" spans="1:15">
      <c r="A15" s="4" t="str">
        <f>"20170725"</f>
        <v>20170725</v>
      </c>
      <c r="B15" s="4" t="str">
        <f>"20170725"</f>
        <v>20170725</v>
      </c>
      <c r="C15" s="4" t="str">
        <f>"基金赎回拨入"</f>
        <v>基金赎回拨入</v>
      </c>
      <c r="D15" s="4" t="str">
        <f t="shared" si="15"/>
        <v>AA0007</v>
      </c>
      <c r="E15" s="4" t="str">
        <f t="shared" si="16"/>
        <v>银河水星1号集合</v>
      </c>
      <c r="F15" s="4">
        <v>0</v>
      </c>
      <c r="G15" s="4">
        <v>15665</v>
      </c>
      <c r="H15" s="4">
        <v>0</v>
      </c>
      <c r="I15" s="4">
        <v>15665</v>
      </c>
      <c r="J15" s="4">
        <v>15666</v>
      </c>
      <c r="K15" s="4">
        <v>0</v>
      </c>
      <c r="L15" s="4" t="str">
        <f t="shared" si="0"/>
        <v>人民币</v>
      </c>
      <c r="N15" s="4" t="str">
        <f t="shared" si="17"/>
        <v>980149593788</v>
      </c>
      <c r="O15" s="4" t="str">
        <f t="shared" si="1"/>
        <v>300100052893</v>
      </c>
    </row>
    <row r="16" spans="1:15">
      <c r="A16" s="4" t="str">
        <f>"20170725"</f>
        <v>20170725</v>
      </c>
      <c r="B16" s="4" t="str">
        <f>"20170725"</f>
        <v>20170725</v>
      </c>
      <c r="C16" s="4" t="str">
        <f>"证券买入"</f>
        <v>证券买入</v>
      </c>
      <c r="D16" s="4" t="str">
        <f>"150182"</f>
        <v>150182</v>
      </c>
      <c r="E16" s="4" t="str">
        <f>"军工B"</f>
        <v>军工B</v>
      </c>
      <c r="F16" s="4">
        <v>0.783</v>
      </c>
      <c r="G16" s="4">
        <v>20000</v>
      </c>
      <c r="H16" s="4">
        <v>15660</v>
      </c>
      <c r="I16" s="4">
        <v>-15665</v>
      </c>
      <c r="J16" s="4">
        <v>1</v>
      </c>
      <c r="K16" s="4">
        <v>20000</v>
      </c>
      <c r="L16" s="4" t="str">
        <f t="shared" si="0"/>
        <v>人民币</v>
      </c>
      <c r="M16" s="4" t="str">
        <f>"T4008678"</f>
        <v>T4008678</v>
      </c>
      <c r="N16" s="4" t="str">
        <f t="shared" si="18"/>
        <v>0149593788</v>
      </c>
      <c r="O16" s="4" t="str">
        <f t="shared" si="1"/>
        <v>300100052893</v>
      </c>
    </row>
    <row r="17" spans="1:15">
      <c r="A17" s="4" t="str">
        <f>"20170726"</f>
        <v>20170726</v>
      </c>
      <c r="B17" s="4" t="str">
        <f>"20170726"</f>
        <v>20170726</v>
      </c>
      <c r="C17" s="4" t="str">
        <f>"基金赎回拨入"</f>
        <v>基金赎回拨入</v>
      </c>
      <c r="D17" s="4" t="str">
        <f t="shared" si="15"/>
        <v>AA0007</v>
      </c>
      <c r="E17" s="4" t="str">
        <f t="shared" si="16"/>
        <v>银河水星1号集合</v>
      </c>
      <c r="F17" s="4">
        <v>0</v>
      </c>
      <c r="G17" s="4">
        <v>11852</v>
      </c>
      <c r="H17" s="4">
        <v>0</v>
      </c>
      <c r="I17" s="4">
        <v>11852.87</v>
      </c>
      <c r="J17" s="4">
        <v>11853.87</v>
      </c>
      <c r="K17" s="4">
        <v>0</v>
      </c>
      <c r="L17" s="4" t="str">
        <f t="shared" si="0"/>
        <v>人民币</v>
      </c>
      <c r="N17" s="4" t="str">
        <f t="shared" si="17"/>
        <v>980149593788</v>
      </c>
      <c r="O17" s="4" t="str">
        <f t="shared" si="1"/>
        <v>300100052893</v>
      </c>
    </row>
    <row r="18" spans="1:15">
      <c r="A18" s="4" t="str">
        <f>"20170726"</f>
        <v>20170726</v>
      </c>
      <c r="B18" s="4" t="str">
        <f>"20170726"</f>
        <v>20170726</v>
      </c>
      <c r="C18" s="4" t="str">
        <f>"证券买入"</f>
        <v>证券买入</v>
      </c>
      <c r="D18" s="4" t="str">
        <f>"150197"</f>
        <v>150197</v>
      </c>
      <c r="E18" s="4" t="str">
        <f>"有色B"</f>
        <v>有色B</v>
      </c>
      <c r="F18" s="4">
        <v>1.208</v>
      </c>
      <c r="G18" s="4">
        <v>9800</v>
      </c>
      <c r="H18" s="4">
        <v>11838.4</v>
      </c>
      <c r="I18" s="4">
        <v>-11843.4</v>
      </c>
      <c r="J18" s="4">
        <v>10.47</v>
      </c>
      <c r="K18" s="4">
        <v>9800</v>
      </c>
      <c r="L18" s="4" t="str">
        <f t="shared" si="0"/>
        <v>人民币</v>
      </c>
      <c r="M18" s="4" t="str">
        <f>"T4003198"</f>
        <v>T4003198</v>
      </c>
      <c r="N18" s="4" t="str">
        <f t="shared" ref="N18:N22" si="19">"0149593788"</f>
        <v>0149593788</v>
      </c>
      <c r="O18" s="4" t="str">
        <f t="shared" si="1"/>
        <v>300100052893</v>
      </c>
    </row>
    <row r="19" spans="1:15">
      <c r="A19" s="4" t="str">
        <f>"20170727"</f>
        <v>20170727</v>
      </c>
      <c r="B19" s="4" t="str">
        <f>"20170727"</f>
        <v>20170727</v>
      </c>
      <c r="C19" s="4" t="str">
        <f>"基金申购拨出"</f>
        <v>基金申购拨出</v>
      </c>
      <c r="D19" s="4" t="str">
        <f t="shared" ref="D19:D23" si="20">"AA0007"</f>
        <v>AA0007</v>
      </c>
      <c r="E19" s="4" t="str">
        <f t="shared" ref="E19:E23" si="21">"银河水星1号集合"</f>
        <v>银河水星1号集合</v>
      </c>
      <c r="F19" s="4">
        <v>0</v>
      </c>
      <c r="G19" s="4">
        <v>0</v>
      </c>
      <c r="H19" s="4">
        <v>0</v>
      </c>
      <c r="I19" s="4">
        <v>-11882.07</v>
      </c>
      <c r="J19" s="4">
        <v>-11871.6</v>
      </c>
      <c r="K19" s="4">
        <v>0</v>
      </c>
      <c r="L19" s="4" t="str">
        <f t="shared" si="0"/>
        <v>人民币</v>
      </c>
      <c r="N19" s="4" t="str">
        <f t="shared" ref="N19:N23" si="22">"980149593788"</f>
        <v>980149593788</v>
      </c>
      <c r="O19" s="4" t="str">
        <f t="shared" si="1"/>
        <v>300100052893</v>
      </c>
    </row>
    <row r="20" spans="1:15">
      <c r="A20" s="4" t="str">
        <f>"20170727"</f>
        <v>20170727</v>
      </c>
      <c r="B20" s="4" t="str">
        <f>"20170727"</f>
        <v>20170727</v>
      </c>
      <c r="C20" s="4" t="str">
        <f t="shared" ref="C20:C25" si="23">"证券卖出"</f>
        <v>证券卖出</v>
      </c>
      <c r="D20" s="4" t="str">
        <f>"150197"</f>
        <v>150197</v>
      </c>
      <c r="E20" s="4" t="str">
        <f>"有色B"</f>
        <v>有色B</v>
      </c>
      <c r="F20" s="4">
        <v>1.212</v>
      </c>
      <c r="G20" s="4">
        <v>9800</v>
      </c>
      <c r="H20" s="4">
        <v>11877.6</v>
      </c>
      <c r="I20" s="4">
        <v>11872.6</v>
      </c>
      <c r="J20" s="4">
        <v>1</v>
      </c>
      <c r="K20" s="4">
        <v>0</v>
      </c>
      <c r="L20" s="4" t="str">
        <f t="shared" si="0"/>
        <v>人民币</v>
      </c>
      <c r="M20" s="4" t="str">
        <f>"T4001155"</f>
        <v>T4001155</v>
      </c>
      <c r="N20" s="4" t="str">
        <f t="shared" si="19"/>
        <v>0149593788</v>
      </c>
      <c r="O20" s="4" t="str">
        <f t="shared" si="1"/>
        <v>300100052893</v>
      </c>
    </row>
    <row r="21" spans="1:15">
      <c r="A21" s="4" t="str">
        <f>"20170728"</f>
        <v>20170728</v>
      </c>
      <c r="B21" s="4" t="str">
        <f>"20170728"</f>
        <v>20170728</v>
      </c>
      <c r="C21" s="4" t="str">
        <f>"基金申购拨出"</f>
        <v>基金申购拨出</v>
      </c>
      <c r="D21" s="4" t="str">
        <f t="shared" si="20"/>
        <v>AA0007</v>
      </c>
      <c r="E21" s="4" t="str">
        <f t="shared" si="21"/>
        <v>银河水星1号集合</v>
      </c>
      <c r="F21" s="4">
        <v>0</v>
      </c>
      <c r="G21" s="4">
        <v>0</v>
      </c>
      <c r="H21" s="4">
        <v>0</v>
      </c>
      <c r="I21" s="4">
        <v>-16075</v>
      </c>
      <c r="J21" s="4">
        <v>-16074</v>
      </c>
      <c r="K21" s="4">
        <v>0</v>
      </c>
      <c r="L21" s="4" t="str">
        <f t="shared" si="0"/>
        <v>人民币</v>
      </c>
      <c r="N21" s="4" t="str">
        <f t="shared" si="22"/>
        <v>980149593788</v>
      </c>
      <c r="O21" s="4" t="str">
        <f t="shared" si="1"/>
        <v>300100052893</v>
      </c>
    </row>
    <row r="22" spans="1:15">
      <c r="A22" s="4" t="str">
        <f>"20170728"</f>
        <v>20170728</v>
      </c>
      <c r="B22" s="4" t="str">
        <f>"20170728"</f>
        <v>20170728</v>
      </c>
      <c r="C22" s="4" t="str">
        <f t="shared" si="23"/>
        <v>证券卖出</v>
      </c>
      <c r="D22" s="4" t="str">
        <f t="shared" ref="D22:D25" si="24">"150182"</f>
        <v>150182</v>
      </c>
      <c r="E22" s="4" t="str">
        <f t="shared" ref="E22:E25" si="25">"军工B"</f>
        <v>军工B</v>
      </c>
      <c r="F22" s="4">
        <v>0.804</v>
      </c>
      <c r="G22" s="4">
        <v>20000</v>
      </c>
      <c r="H22" s="4">
        <v>16080</v>
      </c>
      <c r="I22" s="4">
        <v>16075</v>
      </c>
      <c r="J22" s="4">
        <v>1</v>
      </c>
      <c r="K22" s="4">
        <v>0</v>
      </c>
      <c r="L22" s="4" t="str">
        <f t="shared" si="0"/>
        <v>人民币</v>
      </c>
      <c r="M22" s="4" t="str">
        <f>"T4002906"</f>
        <v>T4002906</v>
      </c>
      <c r="N22" s="4" t="str">
        <f t="shared" si="19"/>
        <v>0149593788</v>
      </c>
      <c r="O22" s="4" t="str">
        <f t="shared" si="1"/>
        <v>300100052893</v>
      </c>
    </row>
    <row r="23" spans="1:15">
      <c r="A23" s="4" t="str">
        <f>"20170731"</f>
        <v>20170731</v>
      </c>
      <c r="B23" s="4" t="str">
        <f>"20170731"</f>
        <v>20170731</v>
      </c>
      <c r="C23" s="4" t="str">
        <f>"基金赎回拨入"</f>
        <v>基金赎回拨入</v>
      </c>
      <c r="D23" s="4" t="str">
        <f t="shared" si="20"/>
        <v>AA0007</v>
      </c>
      <c r="E23" s="4" t="str">
        <f t="shared" si="21"/>
        <v>银河水星1号集合</v>
      </c>
      <c r="F23" s="4">
        <v>0</v>
      </c>
      <c r="G23" s="4">
        <v>15565</v>
      </c>
      <c r="H23" s="4">
        <v>0</v>
      </c>
      <c r="I23" s="4">
        <v>15565</v>
      </c>
      <c r="J23" s="4">
        <v>15566</v>
      </c>
      <c r="K23" s="4">
        <v>0</v>
      </c>
      <c r="L23" s="4" t="str">
        <f t="shared" si="0"/>
        <v>人民币</v>
      </c>
      <c r="N23" s="4" t="str">
        <f t="shared" si="22"/>
        <v>980149593788</v>
      </c>
      <c r="O23" s="4" t="str">
        <f t="shared" si="1"/>
        <v>300100052893</v>
      </c>
    </row>
    <row r="24" spans="1:15">
      <c r="A24" s="4" t="str">
        <f>"20170731"</f>
        <v>20170731</v>
      </c>
      <c r="B24" s="4" t="str">
        <f>"20170731"</f>
        <v>20170731</v>
      </c>
      <c r="C24" s="4" t="str">
        <f t="shared" ref="C24:C28" si="26">"证券买入"</f>
        <v>证券买入</v>
      </c>
      <c r="D24" s="4" t="str">
        <f t="shared" si="24"/>
        <v>150182</v>
      </c>
      <c r="E24" s="4" t="str">
        <f t="shared" si="25"/>
        <v>军工B</v>
      </c>
      <c r="F24" s="4">
        <v>0.778</v>
      </c>
      <c r="G24" s="4">
        <v>20000</v>
      </c>
      <c r="H24" s="4">
        <v>15560</v>
      </c>
      <c r="I24" s="4">
        <v>-15565</v>
      </c>
      <c r="J24" s="4">
        <v>1</v>
      </c>
      <c r="K24" s="4">
        <v>20000</v>
      </c>
      <c r="L24" s="4" t="str">
        <f t="shared" si="0"/>
        <v>人民币</v>
      </c>
      <c r="M24" s="4" t="str">
        <f>"T4007218"</f>
        <v>T4007218</v>
      </c>
      <c r="N24" s="4" t="str">
        <f t="shared" ref="N24:N28" si="27">"0149593788"</f>
        <v>0149593788</v>
      </c>
      <c r="O24" s="4" t="str">
        <f t="shared" si="1"/>
        <v>300100052893</v>
      </c>
    </row>
    <row r="25" spans="1:15">
      <c r="A25" s="4" t="str">
        <f t="shared" ref="A25:A28" si="28">"20170801"</f>
        <v>20170801</v>
      </c>
      <c r="B25" s="4" t="str">
        <f t="shared" ref="B25:B28" si="29">"20170801"</f>
        <v>20170801</v>
      </c>
      <c r="C25" s="4" t="str">
        <f t="shared" si="23"/>
        <v>证券卖出</v>
      </c>
      <c r="D25" s="4" t="str">
        <f t="shared" si="24"/>
        <v>150182</v>
      </c>
      <c r="E25" s="4" t="str">
        <f t="shared" si="25"/>
        <v>军工B</v>
      </c>
      <c r="F25" s="4">
        <v>0.782</v>
      </c>
      <c r="G25" s="4">
        <v>20000</v>
      </c>
      <c r="H25" s="4">
        <v>15640</v>
      </c>
      <c r="I25" s="4">
        <v>15635</v>
      </c>
      <c r="J25" s="4">
        <v>15636</v>
      </c>
      <c r="K25" s="4">
        <v>0</v>
      </c>
      <c r="L25" s="4" t="str">
        <f t="shared" si="0"/>
        <v>人民币</v>
      </c>
      <c r="M25" s="4" t="str">
        <f>"T4005110"</f>
        <v>T4005110</v>
      </c>
      <c r="N25" s="4" t="str">
        <f t="shared" si="27"/>
        <v>0149593788</v>
      </c>
      <c r="O25" s="4" t="str">
        <f t="shared" si="1"/>
        <v>300100052893</v>
      </c>
    </row>
    <row r="26" spans="1:15">
      <c r="A26" s="4" t="str">
        <f t="shared" si="28"/>
        <v>20170801</v>
      </c>
      <c r="B26" s="4" t="str">
        <f t="shared" si="29"/>
        <v>20170801</v>
      </c>
      <c r="C26" s="4" t="str">
        <f t="shared" si="26"/>
        <v>证券买入</v>
      </c>
      <c r="D26" s="4" t="str">
        <f>"002183"</f>
        <v>002183</v>
      </c>
      <c r="E26" s="4" t="str">
        <f>"怡 亚 通"</f>
        <v>怡 亚 通</v>
      </c>
      <c r="F26" s="4">
        <v>8.12</v>
      </c>
      <c r="G26" s="4">
        <v>3000</v>
      </c>
      <c r="H26" s="4">
        <v>24360</v>
      </c>
      <c r="I26" s="4">
        <v>-24367.55</v>
      </c>
      <c r="J26" s="4">
        <v>-8731.55</v>
      </c>
      <c r="K26" s="4">
        <v>8000</v>
      </c>
      <c r="L26" s="4" t="str">
        <f t="shared" si="0"/>
        <v>人民币</v>
      </c>
      <c r="M26" s="4" t="str">
        <f>"T4005343"</f>
        <v>T4005343</v>
      </c>
      <c r="N26" s="4" t="str">
        <f t="shared" si="27"/>
        <v>0149593788</v>
      </c>
      <c r="O26" s="4" t="str">
        <f t="shared" si="1"/>
        <v>300100052893</v>
      </c>
    </row>
    <row r="27" spans="1:15">
      <c r="A27" s="4" t="str">
        <f t="shared" si="28"/>
        <v>20170801</v>
      </c>
      <c r="B27" s="4" t="str">
        <f t="shared" si="29"/>
        <v>20170801</v>
      </c>
      <c r="C27" s="4" t="str">
        <f t="shared" ref="C27:C31" si="30">"证券卖出"</f>
        <v>证券卖出</v>
      </c>
      <c r="D27" s="4" t="str">
        <f>"002183"</f>
        <v>002183</v>
      </c>
      <c r="E27" s="4" t="str">
        <f>"怡 亚 通"</f>
        <v>怡 亚 通</v>
      </c>
      <c r="F27" s="4">
        <v>8.17</v>
      </c>
      <c r="G27" s="4">
        <v>3000</v>
      </c>
      <c r="H27" s="4">
        <v>24510</v>
      </c>
      <c r="I27" s="4">
        <v>24477.89</v>
      </c>
      <c r="J27" s="4">
        <v>15746.34</v>
      </c>
      <c r="K27" s="4">
        <v>5000</v>
      </c>
      <c r="L27" s="4" t="str">
        <f t="shared" si="0"/>
        <v>人民币</v>
      </c>
      <c r="M27" s="4" t="str">
        <f>"T4005527"</f>
        <v>T4005527</v>
      </c>
      <c r="N27" s="4" t="str">
        <f t="shared" si="27"/>
        <v>0149593788</v>
      </c>
      <c r="O27" s="4" t="str">
        <f t="shared" si="1"/>
        <v>300100052893</v>
      </c>
    </row>
    <row r="28" spans="1:15">
      <c r="A28" s="4" t="str">
        <f t="shared" si="28"/>
        <v>20170801</v>
      </c>
      <c r="B28" s="4" t="str">
        <f t="shared" si="29"/>
        <v>20170801</v>
      </c>
      <c r="C28" s="4" t="str">
        <f t="shared" si="26"/>
        <v>证券买入</v>
      </c>
      <c r="D28" s="4" t="str">
        <f>"150182"</f>
        <v>150182</v>
      </c>
      <c r="E28" s="4" t="str">
        <f>"军工B"</f>
        <v>军工B</v>
      </c>
      <c r="F28" s="4">
        <v>0.776</v>
      </c>
      <c r="G28" s="4">
        <v>20000</v>
      </c>
      <c r="H28" s="4">
        <v>15520</v>
      </c>
      <c r="I28" s="4">
        <v>-15525</v>
      </c>
      <c r="J28" s="4">
        <v>221.34</v>
      </c>
      <c r="K28" s="4">
        <v>20000</v>
      </c>
      <c r="L28" s="4" t="str">
        <f t="shared" si="0"/>
        <v>人民币</v>
      </c>
      <c r="M28" s="4" t="str">
        <f>"T4007952"</f>
        <v>T4007952</v>
      </c>
      <c r="N28" s="4" t="str">
        <f t="shared" si="27"/>
        <v>0149593788</v>
      </c>
      <c r="O28" s="4" t="str">
        <f t="shared" si="1"/>
        <v>300100052893</v>
      </c>
    </row>
    <row r="29" spans="1:15">
      <c r="A29" s="4" t="str">
        <f t="shared" ref="A29:A34" si="31">"20170802"</f>
        <v>20170802</v>
      </c>
      <c r="B29" s="4" t="str">
        <f t="shared" ref="B29:B34" si="32">"20170802"</f>
        <v>20170802</v>
      </c>
      <c r="C29" s="4" t="str">
        <f>"基金申购拨出"</f>
        <v>基金申购拨出</v>
      </c>
      <c r="D29" s="4" t="str">
        <f>"AA0007"</f>
        <v>AA0007</v>
      </c>
      <c r="E29" s="4" t="str">
        <f>"银河水星1号集合"</f>
        <v>银河水星1号集合</v>
      </c>
      <c r="F29" s="4">
        <v>0</v>
      </c>
      <c r="G29" s="4">
        <v>0</v>
      </c>
      <c r="H29" s="4">
        <v>0</v>
      </c>
      <c r="I29" s="4">
        <v>-26923.74</v>
      </c>
      <c r="J29" s="4">
        <v>-26702.4</v>
      </c>
      <c r="K29" s="4">
        <v>0</v>
      </c>
      <c r="L29" s="4" t="str">
        <f t="shared" si="0"/>
        <v>人民币</v>
      </c>
      <c r="N29" s="4" t="str">
        <f>"980149593788"</f>
        <v>980149593788</v>
      </c>
      <c r="O29" s="4" t="str">
        <f t="shared" si="1"/>
        <v>300100052893</v>
      </c>
    </row>
    <row r="30" spans="1:15">
      <c r="A30" s="4" t="str">
        <f t="shared" si="31"/>
        <v>20170802</v>
      </c>
      <c r="B30" s="4" t="str">
        <f t="shared" si="32"/>
        <v>20170802</v>
      </c>
      <c r="C30" s="4" t="str">
        <f t="shared" si="30"/>
        <v>证券卖出</v>
      </c>
      <c r="D30" s="4" t="str">
        <f>"150182"</f>
        <v>150182</v>
      </c>
      <c r="E30" s="4" t="str">
        <f>"军工B"</f>
        <v>军工B</v>
      </c>
      <c r="F30" s="4">
        <v>0.767</v>
      </c>
      <c r="G30" s="4">
        <v>20000</v>
      </c>
      <c r="H30" s="4">
        <v>15340</v>
      </c>
      <c r="I30" s="4">
        <v>15335</v>
      </c>
      <c r="J30" s="4">
        <v>-11367.4</v>
      </c>
      <c r="K30" s="4">
        <v>0</v>
      </c>
      <c r="L30" s="4" t="str">
        <f t="shared" si="0"/>
        <v>人民币</v>
      </c>
      <c r="M30" s="4" t="str">
        <f>"T4004970"</f>
        <v>T4004970</v>
      </c>
      <c r="N30" s="4" t="str">
        <f>"0149593788"</f>
        <v>0149593788</v>
      </c>
      <c r="O30" s="4" t="str">
        <f t="shared" si="1"/>
        <v>300100052893</v>
      </c>
    </row>
    <row r="31" spans="1:15">
      <c r="A31" s="4" t="str">
        <f t="shared" si="31"/>
        <v>20170802</v>
      </c>
      <c r="B31" s="4" t="str">
        <f t="shared" si="32"/>
        <v>20170802</v>
      </c>
      <c r="C31" s="4" t="str">
        <f t="shared" si="30"/>
        <v>证券卖出</v>
      </c>
      <c r="D31" s="4" t="str">
        <f t="shared" ref="D31:D33" si="33">"600219"</f>
        <v>600219</v>
      </c>
      <c r="E31" s="4" t="str">
        <f t="shared" ref="E31:E33" si="34">"南山铝业"</f>
        <v>南山铝业</v>
      </c>
      <c r="F31" s="4">
        <v>3.72</v>
      </c>
      <c r="G31" s="4">
        <v>5000</v>
      </c>
      <c r="H31" s="4">
        <v>18600</v>
      </c>
      <c r="I31" s="4">
        <v>18575.26</v>
      </c>
      <c r="J31" s="4">
        <v>7207.86</v>
      </c>
      <c r="K31" s="4">
        <v>6250</v>
      </c>
      <c r="L31" s="4" t="str">
        <f t="shared" si="0"/>
        <v>人民币</v>
      </c>
      <c r="M31" s="4" t="str">
        <f>"0136006201"</f>
        <v>0136006201</v>
      </c>
      <c r="N31" s="4" t="str">
        <f t="shared" ref="N31:N33" si="35">"A368402599"</f>
        <v>A368402599</v>
      </c>
      <c r="O31" s="4" t="str">
        <f t="shared" si="1"/>
        <v>300100052893</v>
      </c>
    </row>
    <row r="32" spans="1:15">
      <c r="A32" s="4" t="str">
        <f t="shared" si="31"/>
        <v>20170802</v>
      </c>
      <c r="B32" s="4" t="str">
        <f t="shared" si="32"/>
        <v>20170802</v>
      </c>
      <c r="C32" s="4" t="str">
        <f t="shared" ref="C32:C38" si="36">"证券买入"</f>
        <v>证券买入</v>
      </c>
      <c r="D32" s="4" t="str">
        <f t="shared" si="33"/>
        <v>600219</v>
      </c>
      <c r="E32" s="4" t="str">
        <f t="shared" si="34"/>
        <v>南山铝业</v>
      </c>
      <c r="F32" s="4">
        <v>3.79</v>
      </c>
      <c r="G32" s="4">
        <v>5000</v>
      </c>
      <c r="H32" s="4">
        <v>18950</v>
      </c>
      <c r="I32" s="4">
        <v>-18956.25</v>
      </c>
      <c r="J32" s="4">
        <v>-11748.39</v>
      </c>
      <c r="K32" s="4">
        <v>11250</v>
      </c>
      <c r="L32" s="4" t="str">
        <f t="shared" si="0"/>
        <v>人民币</v>
      </c>
      <c r="M32" s="4" t="str">
        <f>"0136006745"</f>
        <v>0136006745</v>
      </c>
      <c r="N32" s="4" t="str">
        <f t="shared" si="35"/>
        <v>A368402599</v>
      </c>
      <c r="O32" s="4" t="str">
        <f t="shared" si="1"/>
        <v>300100052893</v>
      </c>
    </row>
    <row r="33" spans="1:15">
      <c r="A33" s="4" t="str">
        <f t="shared" si="31"/>
        <v>20170802</v>
      </c>
      <c r="B33" s="4" t="str">
        <f t="shared" si="32"/>
        <v>20170802</v>
      </c>
      <c r="C33" s="4" t="str">
        <f>"证券卖出"</f>
        <v>证券卖出</v>
      </c>
      <c r="D33" s="4" t="str">
        <f t="shared" si="33"/>
        <v>600219</v>
      </c>
      <c r="E33" s="4" t="str">
        <f t="shared" si="34"/>
        <v>南山铝业</v>
      </c>
      <c r="F33" s="4">
        <v>3.85</v>
      </c>
      <c r="G33" s="4">
        <v>5000</v>
      </c>
      <c r="H33" s="4">
        <v>19250</v>
      </c>
      <c r="I33" s="4">
        <v>19224.38</v>
      </c>
      <c r="J33" s="4">
        <v>7475.99</v>
      </c>
      <c r="K33" s="4">
        <v>6250</v>
      </c>
      <c r="L33" s="4" t="str">
        <f t="shared" si="0"/>
        <v>人民币</v>
      </c>
      <c r="M33" s="4" t="str">
        <f>"0136008509"</f>
        <v>0136008509</v>
      </c>
      <c r="N33" s="4" t="str">
        <f t="shared" si="35"/>
        <v>A368402599</v>
      </c>
      <c r="O33" s="4" t="str">
        <f t="shared" si="1"/>
        <v>300100052893</v>
      </c>
    </row>
    <row r="34" spans="1:15">
      <c r="A34" s="4" t="str">
        <f t="shared" si="31"/>
        <v>20170802</v>
      </c>
      <c r="B34" s="4" t="str">
        <f t="shared" si="32"/>
        <v>20170802</v>
      </c>
      <c r="C34" s="4" t="str">
        <f t="shared" si="36"/>
        <v>证券买入</v>
      </c>
      <c r="D34" s="4" t="str">
        <f>"150182"</f>
        <v>150182</v>
      </c>
      <c r="E34" s="4" t="str">
        <f>"军工B"</f>
        <v>军工B</v>
      </c>
      <c r="F34" s="4">
        <v>0.747</v>
      </c>
      <c r="G34" s="4">
        <v>10000</v>
      </c>
      <c r="H34" s="4">
        <v>7470</v>
      </c>
      <c r="I34" s="4">
        <v>-7475</v>
      </c>
      <c r="J34" s="4">
        <v>0.99</v>
      </c>
      <c r="K34" s="4">
        <v>10000</v>
      </c>
      <c r="L34" s="4" t="str">
        <f t="shared" si="0"/>
        <v>人民币</v>
      </c>
      <c r="M34" s="4" t="str">
        <f>"T4013869"</f>
        <v>T4013869</v>
      </c>
      <c r="N34" s="4" t="str">
        <f t="shared" ref="N34:N38" si="37">"0149593788"</f>
        <v>0149593788</v>
      </c>
      <c r="O34" s="4" t="str">
        <f t="shared" si="1"/>
        <v>300100052893</v>
      </c>
    </row>
    <row r="35" spans="1:15">
      <c r="A35" s="4" t="str">
        <f t="shared" ref="A35:A38" si="38">"20170803"</f>
        <v>20170803</v>
      </c>
      <c r="B35" s="4" t="str">
        <f t="shared" ref="B35:B38" si="39">"20170803"</f>
        <v>20170803</v>
      </c>
      <c r="C35" s="4" t="str">
        <f>"基金赎回拨入"</f>
        <v>基金赎回拨入</v>
      </c>
      <c r="D35" s="4" t="str">
        <f>"AA0007"</f>
        <v>AA0007</v>
      </c>
      <c r="E35" s="4" t="str">
        <f>"银河水星1号集合"</f>
        <v>银河水星1号集合</v>
      </c>
      <c r="F35" s="4">
        <v>0</v>
      </c>
      <c r="G35" s="4">
        <v>9995</v>
      </c>
      <c r="H35" s="4">
        <v>0</v>
      </c>
      <c r="I35" s="4">
        <v>9995.01</v>
      </c>
      <c r="J35" s="4">
        <v>9996</v>
      </c>
      <c r="K35" s="4">
        <v>0</v>
      </c>
      <c r="L35" s="4" t="str">
        <f t="shared" si="0"/>
        <v>人民币</v>
      </c>
      <c r="N35" s="4" t="str">
        <f>"980149593788"</f>
        <v>980149593788</v>
      </c>
      <c r="O35" s="4" t="str">
        <f t="shared" si="1"/>
        <v>300100052893</v>
      </c>
    </row>
    <row r="36" spans="1:15">
      <c r="A36" s="4" t="str">
        <f t="shared" si="38"/>
        <v>20170803</v>
      </c>
      <c r="B36" s="4" t="str">
        <f t="shared" si="39"/>
        <v>20170803</v>
      </c>
      <c r="C36" s="4" t="str">
        <f>"证券卖出"</f>
        <v>证券卖出</v>
      </c>
      <c r="D36" s="4" t="str">
        <f>"150182"</f>
        <v>150182</v>
      </c>
      <c r="E36" s="4" t="str">
        <f>"军工B"</f>
        <v>军工B</v>
      </c>
      <c r="F36" s="4">
        <v>0.751</v>
      </c>
      <c r="G36" s="4">
        <v>10000</v>
      </c>
      <c r="H36" s="4">
        <v>7510</v>
      </c>
      <c r="I36" s="4">
        <v>7505</v>
      </c>
      <c r="J36" s="4">
        <v>17501</v>
      </c>
      <c r="K36" s="4">
        <v>0</v>
      </c>
      <c r="L36" s="4" t="str">
        <f t="shared" si="0"/>
        <v>人民币</v>
      </c>
      <c r="M36" s="4" t="str">
        <f>"T4001565"</f>
        <v>T4001565</v>
      </c>
      <c r="N36" s="4" t="str">
        <f t="shared" si="37"/>
        <v>0149593788</v>
      </c>
      <c r="O36" s="4" t="str">
        <f t="shared" si="1"/>
        <v>300100052893</v>
      </c>
    </row>
    <row r="37" spans="1:15">
      <c r="A37" s="4" t="str">
        <f t="shared" si="38"/>
        <v>20170803</v>
      </c>
      <c r="B37" s="4" t="str">
        <f t="shared" si="39"/>
        <v>20170803</v>
      </c>
      <c r="C37" s="4" t="str">
        <f t="shared" si="36"/>
        <v>证券买入</v>
      </c>
      <c r="D37" s="4" t="str">
        <f>"150153"</f>
        <v>150153</v>
      </c>
      <c r="E37" s="4" t="str">
        <f>"创业板B"</f>
        <v>创业板B</v>
      </c>
      <c r="F37" s="4">
        <v>0.579</v>
      </c>
      <c r="G37" s="4">
        <v>10000</v>
      </c>
      <c r="H37" s="4">
        <v>5790</v>
      </c>
      <c r="I37" s="4">
        <v>-5795</v>
      </c>
      <c r="J37" s="4">
        <v>11706</v>
      </c>
      <c r="K37" s="4">
        <v>10000</v>
      </c>
      <c r="L37" s="4" t="str">
        <f t="shared" si="0"/>
        <v>人民币</v>
      </c>
      <c r="M37" s="4" t="str">
        <f>"T4004321"</f>
        <v>T4004321</v>
      </c>
      <c r="N37" s="4" t="str">
        <f t="shared" si="37"/>
        <v>0149593788</v>
      </c>
      <c r="O37" s="4" t="str">
        <f t="shared" si="1"/>
        <v>300100052893</v>
      </c>
    </row>
    <row r="38" spans="1:15">
      <c r="A38" s="4" t="str">
        <f t="shared" si="38"/>
        <v>20170803</v>
      </c>
      <c r="B38" s="4" t="str">
        <f t="shared" si="39"/>
        <v>20170803</v>
      </c>
      <c r="C38" s="4" t="str">
        <f t="shared" si="36"/>
        <v>证券买入</v>
      </c>
      <c r="D38" s="4" t="str">
        <f>"300463"</f>
        <v>300463</v>
      </c>
      <c r="E38" s="4" t="str">
        <f>"迈克生物"</f>
        <v>迈克生物</v>
      </c>
      <c r="F38" s="4">
        <v>23.4</v>
      </c>
      <c r="G38" s="4">
        <v>500</v>
      </c>
      <c r="H38" s="4">
        <v>11700</v>
      </c>
      <c r="I38" s="4">
        <v>-11705</v>
      </c>
      <c r="J38" s="4">
        <v>1</v>
      </c>
      <c r="K38" s="4">
        <v>500</v>
      </c>
      <c r="L38" s="4" t="str">
        <f t="shared" si="0"/>
        <v>人民币</v>
      </c>
      <c r="M38" s="4" t="str">
        <f>"T4004437"</f>
        <v>T4004437</v>
      </c>
      <c r="N38" s="4" t="str">
        <f t="shared" si="37"/>
        <v>0149593788</v>
      </c>
      <c r="O38" s="4" t="str">
        <f t="shared" si="1"/>
        <v>300100052893</v>
      </c>
    </row>
    <row r="39" spans="1:15">
      <c r="A39" s="4" t="str">
        <f>"20170807"</f>
        <v>20170807</v>
      </c>
      <c r="B39" s="4" t="str">
        <f>"20170807"</f>
        <v>20170807</v>
      </c>
      <c r="C39" s="4" t="str">
        <f>"基金申购拨出"</f>
        <v>基金申购拨出</v>
      </c>
      <c r="D39" s="4" t="str">
        <f>"AA0007"</f>
        <v>AA0007</v>
      </c>
      <c r="E39" s="4" t="str">
        <f>"银河水星1号集合"</f>
        <v>银河水星1号集合</v>
      </c>
      <c r="F39" s="4">
        <v>0</v>
      </c>
      <c r="G39" s="4">
        <v>0</v>
      </c>
      <c r="H39" s="4">
        <v>0</v>
      </c>
      <c r="I39" s="4">
        <v>-12312.42</v>
      </c>
      <c r="J39" s="4">
        <v>-12311.42</v>
      </c>
      <c r="K39" s="4">
        <v>0</v>
      </c>
      <c r="L39" s="4" t="str">
        <f t="shared" si="0"/>
        <v>人民币</v>
      </c>
      <c r="N39" s="4" t="str">
        <f>"980149593788"</f>
        <v>980149593788</v>
      </c>
      <c r="O39" s="4" t="str">
        <f t="shared" si="1"/>
        <v>300100052893</v>
      </c>
    </row>
    <row r="40" spans="1:15">
      <c r="A40" s="4" t="str">
        <f>"20170807"</f>
        <v>20170807</v>
      </c>
      <c r="B40" s="4" t="str">
        <f>"20170807"</f>
        <v>20170807</v>
      </c>
      <c r="C40" s="4" t="str">
        <f>"证券卖出"</f>
        <v>证券卖出</v>
      </c>
      <c r="D40" s="4" t="str">
        <f>"600219"</f>
        <v>600219</v>
      </c>
      <c r="E40" s="4" t="str">
        <f>"南山铝业"</f>
        <v>南山铝业</v>
      </c>
      <c r="F40" s="4">
        <v>4.11</v>
      </c>
      <c r="G40" s="4">
        <v>3000</v>
      </c>
      <c r="H40" s="4">
        <v>12330</v>
      </c>
      <c r="I40" s="4">
        <v>12312.42</v>
      </c>
      <c r="J40" s="4">
        <v>1</v>
      </c>
      <c r="K40" s="4">
        <v>3250</v>
      </c>
      <c r="L40" s="4" t="str">
        <f t="shared" si="0"/>
        <v>人民币</v>
      </c>
      <c r="M40" s="4" t="str">
        <f>"0136008915"</f>
        <v>0136008915</v>
      </c>
      <c r="N40" s="4" t="str">
        <f>"A368402599"</f>
        <v>A368402599</v>
      </c>
      <c r="O40" s="4" t="str">
        <f t="shared" si="1"/>
        <v>300100052893</v>
      </c>
    </row>
    <row r="41" spans="1:15">
      <c r="A41" s="4" t="str">
        <f t="shared" ref="A41:A46" si="40">"20170808"</f>
        <v>20170808</v>
      </c>
      <c r="B41" s="4" t="str">
        <f t="shared" ref="B41:B46" si="41">"20170808"</f>
        <v>20170808</v>
      </c>
      <c r="C41" s="4" t="str">
        <f>"基金赎回拨入"</f>
        <v>基金赎回拨入</v>
      </c>
      <c r="D41" s="4" t="str">
        <f>"AA0007"</f>
        <v>AA0007</v>
      </c>
      <c r="E41" s="4" t="str">
        <f>"银河水星1号集合"</f>
        <v>银河水星1号集合</v>
      </c>
      <c r="F41" s="4">
        <v>0</v>
      </c>
      <c r="G41" s="4">
        <v>8196</v>
      </c>
      <c r="H41" s="4">
        <v>0</v>
      </c>
      <c r="I41" s="4">
        <v>8196.94</v>
      </c>
      <c r="J41" s="4">
        <v>8197.94</v>
      </c>
      <c r="K41" s="4">
        <v>0</v>
      </c>
      <c r="L41" s="4" t="str">
        <f t="shared" si="0"/>
        <v>人民币</v>
      </c>
      <c r="N41" s="4" t="str">
        <f>"980149593788"</f>
        <v>980149593788</v>
      </c>
      <c r="O41" s="4" t="str">
        <f t="shared" si="1"/>
        <v>300100052893</v>
      </c>
    </row>
    <row r="42" spans="1:15">
      <c r="A42" s="4" t="str">
        <f t="shared" si="40"/>
        <v>20170808</v>
      </c>
      <c r="B42" s="4" t="str">
        <f t="shared" si="41"/>
        <v>20170808</v>
      </c>
      <c r="C42" s="4" t="str">
        <f t="shared" ref="C42:C44" si="42">"证券买入"</f>
        <v>证券买入</v>
      </c>
      <c r="D42" s="4" t="str">
        <f>"300463"</f>
        <v>300463</v>
      </c>
      <c r="E42" s="4" t="str">
        <f>"迈克生物"</f>
        <v>迈克生物</v>
      </c>
      <c r="F42" s="4">
        <v>23.48</v>
      </c>
      <c r="G42" s="4">
        <v>500</v>
      </c>
      <c r="H42" s="4">
        <v>11740</v>
      </c>
      <c r="I42" s="4">
        <v>-11745</v>
      </c>
      <c r="J42" s="4">
        <v>-3547.06</v>
      </c>
      <c r="K42" s="4">
        <v>1000</v>
      </c>
      <c r="L42" s="4" t="str">
        <f t="shared" si="0"/>
        <v>人民币</v>
      </c>
      <c r="M42" s="4" t="str">
        <f>"T4001854"</f>
        <v>T4001854</v>
      </c>
      <c r="N42" s="4" t="str">
        <f t="shared" ref="N42:N46" si="43">"0149593788"</f>
        <v>0149593788</v>
      </c>
      <c r="O42" s="4" t="str">
        <f t="shared" si="1"/>
        <v>300100052893</v>
      </c>
    </row>
    <row r="43" spans="1:15">
      <c r="A43" s="4" t="str">
        <f t="shared" si="40"/>
        <v>20170808</v>
      </c>
      <c r="B43" s="4" t="str">
        <f t="shared" si="41"/>
        <v>20170808</v>
      </c>
      <c r="C43" s="4" t="str">
        <f t="shared" si="42"/>
        <v>证券买入</v>
      </c>
      <c r="D43" s="4" t="str">
        <f>"150153"</f>
        <v>150153</v>
      </c>
      <c r="E43" s="4" t="str">
        <f>"创业板B"</f>
        <v>创业板B</v>
      </c>
      <c r="F43" s="4">
        <v>0.571</v>
      </c>
      <c r="G43" s="4">
        <v>10000</v>
      </c>
      <c r="H43" s="4">
        <v>5710</v>
      </c>
      <c r="I43" s="4">
        <v>-5715</v>
      </c>
      <c r="J43" s="4">
        <v>-9262.06</v>
      </c>
      <c r="K43" s="4">
        <v>20000</v>
      </c>
      <c r="L43" s="4" t="str">
        <f t="shared" si="0"/>
        <v>人民币</v>
      </c>
      <c r="M43" s="4" t="str">
        <f>"T4006536"</f>
        <v>T4006536</v>
      </c>
      <c r="N43" s="4" t="str">
        <f t="shared" si="43"/>
        <v>0149593788</v>
      </c>
      <c r="O43" s="4" t="str">
        <f t="shared" si="1"/>
        <v>300100052893</v>
      </c>
    </row>
    <row r="44" spans="1:15">
      <c r="A44" s="4" t="str">
        <f t="shared" si="40"/>
        <v>20170808</v>
      </c>
      <c r="B44" s="4" t="str">
        <f t="shared" si="41"/>
        <v>20170808</v>
      </c>
      <c r="C44" s="4" t="str">
        <f t="shared" si="42"/>
        <v>证券买入</v>
      </c>
      <c r="D44" s="4" t="str">
        <f>"150182"</f>
        <v>150182</v>
      </c>
      <c r="E44" s="4" t="str">
        <f>"军工B"</f>
        <v>军工B</v>
      </c>
      <c r="F44" s="4">
        <v>0.84</v>
      </c>
      <c r="G44" s="4">
        <v>10000</v>
      </c>
      <c r="H44" s="4">
        <v>8400</v>
      </c>
      <c r="I44" s="4">
        <v>-8405</v>
      </c>
      <c r="J44" s="4">
        <v>-17667.06</v>
      </c>
      <c r="K44" s="4">
        <v>10000</v>
      </c>
      <c r="L44" s="4" t="str">
        <f t="shared" si="0"/>
        <v>人民币</v>
      </c>
      <c r="M44" s="4" t="str">
        <f>"T4007757"</f>
        <v>T4007757</v>
      </c>
      <c r="N44" s="4" t="str">
        <f t="shared" si="43"/>
        <v>0149593788</v>
      </c>
      <c r="O44" s="4" t="str">
        <f t="shared" si="1"/>
        <v>300100052893</v>
      </c>
    </row>
    <row r="45" spans="1:15">
      <c r="A45" s="4" t="str">
        <f t="shared" si="40"/>
        <v>20170808</v>
      </c>
      <c r="B45" s="4" t="str">
        <f t="shared" si="41"/>
        <v>20170808</v>
      </c>
      <c r="C45" s="4" t="str">
        <f t="shared" ref="C45:C50" si="44">"证券卖出"</f>
        <v>证券卖出</v>
      </c>
      <c r="D45" s="4" t="str">
        <f t="shared" ref="D45:D50" si="45">"150153"</f>
        <v>150153</v>
      </c>
      <c r="E45" s="4" t="str">
        <f t="shared" ref="E45:E50" si="46">"创业板B"</f>
        <v>创业板B</v>
      </c>
      <c r="F45" s="4">
        <v>0.575</v>
      </c>
      <c r="G45" s="4">
        <v>10000</v>
      </c>
      <c r="H45" s="4">
        <v>5750</v>
      </c>
      <c r="I45" s="4">
        <v>5745</v>
      </c>
      <c r="J45" s="4">
        <v>-11922.06</v>
      </c>
      <c r="K45" s="4">
        <v>10000</v>
      </c>
      <c r="L45" s="4" t="str">
        <f t="shared" si="0"/>
        <v>人民币</v>
      </c>
      <c r="M45" s="4" t="str">
        <f>"T4007790"</f>
        <v>T4007790</v>
      </c>
      <c r="N45" s="4" t="str">
        <f t="shared" si="43"/>
        <v>0149593788</v>
      </c>
      <c r="O45" s="4" t="str">
        <f t="shared" si="1"/>
        <v>300100052893</v>
      </c>
    </row>
    <row r="46" spans="1:15">
      <c r="A46" s="4" t="str">
        <f t="shared" si="40"/>
        <v>20170808</v>
      </c>
      <c r="B46" s="4" t="str">
        <f t="shared" si="41"/>
        <v>20170808</v>
      </c>
      <c r="C46" s="4" t="str">
        <f t="shared" si="44"/>
        <v>证券卖出</v>
      </c>
      <c r="D46" s="4" t="str">
        <f>"300463"</f>
        <v>300463</v>
      </c>
      <c r="E46" s="4" t="str">
        <f>"迈克生物"</f>
        <v>迈克生物</v>
      </c>
      <c r="F46" s="4">
        <v>23.88</v>
      </c>
      <c r="G46" s="4">
        <v>500</v>
      </c>
      <c r="H46" s="4">
        <v>11940</v>
      </c>
      <c r="I46" s="4">
        <v>11923.06</v>
      </c>
      <c r="J46" s="4">
        <v>1</v>
      </c>
      <c r="K46" s="4">
        <v>500</v>
      </c>
      <c r="L46" s="4" t="str">
        <f t="shared" si="0"/>
        <v>人民币</v>
      </c>
      <c r="M46" s="4" t="str">
        <f>"T4009344"</f>
        <v>T4009344</v>
      </c>
      <c r="N46" s="4" t="str">
        <f t="shared" si="43"/>
        <v>0149593788</v>
      </c>
      <c r="O46" s="4" t="str">
        <f t="shared" si="1"/>
        <v>300100052893</v>
      </c>
    </row>
    <row r="47" spans="1:15">
      <c r="A47" s="4" t="str">
        <f t="shared" ref="A47:A52" si="47">"20170809"</f>
        <v>20170809</v>
      </c>
      <c r="B47" s="4" t="str">
        <f t="shared" ref="B47:B52" si="48">"20170809"</f>
        <v>20170809</v>
      </c>
      <c r="C47" s="4" t="str">
        <f>"基金赎回拨入"</f>
        <v>基金赎回拨入</v>
      </c>
      <c r="D47" s="4" t="str">
        <f>"AA0007"</f>
        <v>AA0007</v>
      </c>
      <c r="E47" s="4" t="str">
        <f>"银河水星1号集合"</f>
        <v>银河水星1号集合</v>
      </c>
      <c r="F47" s="4">
        <v>0</v>
      </c>
      <c r="G47" s="4">
        <v>11107</v>
      </c>
      <c r="H47" s="4">
        <v>0</v>
      </c>
      <c r="I47" s="4">
        <v>11107.51</v>
      </c>
      <c r="J47" s="4">
        <v>11108.51</v>
      </c>
      <c r="K47" s="4">
        <v>0</v>
      </c>
      <c r="L47" s="4" t="str">
        <f t="shared" si="0"/>
        <v>人民币</v>
      </c>
      <c r="N47" s="4" t="str">
        <f>"980149593788"</f>
        <v>980149593788</v>
      </c>
      <c r="O47" s="4" t="str">
        <f t="shared" si="1"/>
        <v>300100052893</v>
      </c>
    </row>
    <row r="48" spans="1:15">
      <c r="A48" s="4" t="str">
        <f t="shared" si="47"/>
        <v>20170809</v>
      </c>
      <c r="B48" s="4" t="str">
        <f t="shared" si="48"/>
        <v>20170809</v>
      </c>
      <c r="C48" s="4" t="str">
        <f t="shared" ref="C48:C51" si="49">"证券买入"</f>
        <v>证券买入</v>
      </c>
      <c r="D48" s="4" t="str">
        <f>"300463"</f>
        <v>300463</v>
      </c>
      <c r="E48" s="4" t="str">
        <f>"迈克生物"</f>
        <v>迈克生物</v>
      </c>
      <c r="F48" s="4">
        <v>24.5</v>
      </c>
      <c r="G48" s="4">
        <v>500</v>
      </c>
      <c r="H48" s="4">
        <v>12250</v>
      </c>
      <c r="I48" s="4">
        <v>-12255</v>
      </c>
      <c r="J48" s="4">
        <v>-1146.49</v>
      </c>
      <c r="K48" s="4">
        <v>1000</v>
      </c>
      <c r="L48" s="4" t="str">
        <f t="shared" si="0"/>
        <v>人民币</v>
      </c>
      <c r="M48" s="4" t="str">
        <f>"T4001942"</f>
        <v>T4001942</v>
      </c>
      <c r="N48" s="4" t="str">
        <f t="shared" ref="N48:N52" si="50">"0149593788"</f>
        <v>0149593788</v>
      </c>
      <c r="O48" s="4" t="str">
        <f t="shared" si="1"/>
        <v>300100052893</v>
      </c>
    </row>
    <row r="49" spans="1:15">
      <c r="A49" s="4" t="str">
        <f t="shared" si="47"/>
        <v>20170809</v>
      </c>
      <c r="B49" s="4" t="str">
        <f t="shared" si="48"/>
        <v>20170809</v>
      </c>
      <c r="C49" s="4" t="str">
        <f t="shared" si="49"/>
        <v>证券买入</v>
      </c>
      <c r="D49" s="4" t="str">
        <f t="shared" si="45"/>
        <v>150153</v>
      </c>
      <c r="E49" s="4" t="str">
        <f t="shared" si="46"/>
        <v>创业板B</v>
      </c>
      <c r="F49" s="4">
        <v>0.586</v>
      </c>
      <c r="G49" s="4">
        <v>10000</v>
      </c>
      <c r="H49" s="4">
        <v>5860</v>
      </c>
      <c r="I49" s="4">
        <v>-5865</v>
      </c>
      <c r="J49" s="4">
        <v>-7011.49</v>
      </c>
      <c r="K49" s="4">
        <v>20000</v>
      </c>
      <c r="L49" s="4" t="str">
        <f t="shared" si="0"/>
        <v>人民币</v>
      </c>
      <c r="M49" s="4" t="str">
        <f>"T4004056"</f>
        <v>T4004056</v>
      </c>
      <c r="N49" s="4" t="str">
        <f t="shared" si="50"/>
        <v>0149593788</v>
      </c>
      <c r="O49" s="4" t="str">
        <f t="shared" si="1"/>
        <v>300100052893</v>
      </c>
    </row>
    <row r="50" spans="1:15">
      <c r="A50" s="4" t="str">
        <f t="shared" si="47"/>
        <v>20170809</v>
      </c>
      <c r="B50" s="4" t="str">
        <f t="shared" si="48"/>
        <v>20170809</v>
      </c>
      <c r="C50" s="4" t="str">
        <f t="shared" si="44"/>
        <v>证券卖出</v>
      </c>
      <c r="D50" s="4" t="str">
        <f t="shared" si="45"/>
        <v>150153</v>
      </c>
      <c r="E50" s="4" t="str">
        <f t="shared" si="46"/>
        <v>创业板B</v>
      </c>
      <c r="F50" s="4">
        <v>0.589</v>
      </c>
      <c r="G50" s="4">
        <v>10000</v>
      </c>
      <c r="H50" s="4">
        <v>5890</v>
      </c>
      <c r="I50" s="4">
        <v>5885</v>
      </c>
      <c r="J50" s="4">
        <v>-1126.49</v>
      </c>
      <c r="K50" s="4">
        <v>10000</v>
      </c>
      <c r="L50" s="4" t="str">
        <f t="shared" si="0"/>
        <v>人民币</v>
      </c>
      <c r="M50" s="4" t="str">
        <f>"T4006622"</f>
        <v>T4006622</v>
      </c>
      <c r="N50" s="4" t="str">
        <f t="shared" si="50"/>
        <v>0149593788</v>
      </c>
      <c r="O50" s="4" t="str">
        <f t="shared" si="1"/>
        <v>300100052893</v>
      </c>
    </row>
    <row r="51" spans="1:15">
      <c r="A51" s="4" t="str">
        <f t="shared" si="47"/>
        <v>20170809</v>
      </c>
      <c r="B51" s="4" t="str">
        <f t="shared" si="48"/>
        <v>20170809</v>
      </c>
      <c r="C51" s="4" t="str">
        <f t="shared" si="49"/>
        <v>证券买入</v>
      </c>
      <c r="D51" s="4" t="str">
        <f>"000670"</f>
        <v>000670</v>
      </c>
      <c r="E51" s="4" t="str">
        <f>"盈方微"</f>
        <v>盈方微</v>
      </c>
      <c r="F51" s="4">
        <v>5.68</v>
      </c>
      <c r="G51" s="4">
        <v>2000</v>
      </c>
      <c r="H51" s="4">
        <v>11360</v>
      </c>
      <c r="I51" s="4">
        <v>-11365</v>
      </c>
      <c r="J51" s="4">
        <v>-12491.49</v>
      </c>
      <c r="K51" s="4">
        <v>2000</v>
      </c>
      <c r="L51" s="4" t="str">
        <f t="shared" si="0"/>
        <v>人民币</v>
      </c>
      <c r="M51" s="4" t="str">
        <f>"T4006975"</f>
        <v>T4006975</v>
      </c>
      <c r="N51" s="4" t="str">
        <f t="shared" si="50"/>
        <v>0149593788</v>
      </c>
      <c r="O51" s="4" t="str">
        <f t="shared" si="1"/>
        <v>300100052893</v>
      </c>
    </row>
    <row r="52" spans="1:15">
      <c r="A52" s="4" t="str">
        <f t="shared" si="47"/>
        <v>20170809</v>
      </c>
      <c r="B52" s="4" t="str">
        <f t="shared" si="48"/>
        <v>20170809</v>
      </c>
      <c r="C52" s="4" t="str">
        <f t="shared" ref="C52:C59" si="51">"证券卖出"</f>
        <v>证券卖出</v>
      </c>
      <c r="D52" s="4" t="str">
        <f>"300463"</f>
        <v>300463</v>
      </c>
      <c r="E52" s="4" t="str">
        <f>"迈克生物"</f>
        <v>迈克生物</v>
      </c>
      <c r="F52" s="4">
        <v>25.02</v>
      </c>
      <c r="G52" s="4">
        <v>500</v>
      </c>
      <c r="H52" s="4">
        <v>12510</v>
      </c>
      <c r="I52" s="4">
        <v>12492.49</v>
      </c>
      <c r="J52" s="4">
        <v>1</v>
      </c>
      <c r="K52" s="4">
        <v>500</v>
      </c>
      <c r="L52" s="4" t="str">
        <f t="shared" si="0"/>
        <v>人民币</v>
      </c>
      <c r="M52" s="4" t="str">
        <f>"T4008731"</f>
        <v>T4008731</v>
      </c>
      <c r="N52" s="4" t="str">
        <f t="shared" si="50"/>
        <v>0149593788</v>
      </c>
      <c r="O52" s="4" t="str">
        <f t="shared" si="1"/>
        <v>300100052893</v>
      </c>
    </row>
    <row r="53" spans="1:15">
      <c r="A53" s="4" t="str">
        <f t="shared" ref="A53:A59" si="52">"20170810"</f>
        <v>20170810</v>
      </c>
      <c r="B53" s="4" t="str">
        <f t="shared" ref="B53:B59" si="53">"20170810"</f>
        <v>20170810</v>
      </c>
      <c r="C53" s="4" t="str">
        <f>"基金申购拨出"</f>
        <v>基金申购拨出</v>
      </c>
      <c r="D53" s="4" t="str">
        <f>"AA0007"</f>
        <v>AA0007</v>
      </c>
      <c r="E53" s="4" t="str">
        <f>"银河水星1号集合"</f>
        <v>银河水星1号集合</v>
      </c>
      <c r="F53" s="4">
        <v>0</v>
      </c>
      <c r="G53" s="4">
        <v>0</v>
      </c>
      <c r="H53" s="4">
        <v>0</v>
      </c>
      <c r="I53" s="4">
        <v>-10548.79</v>
      </c>
      <c r="J53" s="4">
        <v>-10547.79</v>
      </c>
      <c r="K53" s="4">
        <v>0</v>
      </c>
      <c r="L53" s="4" t="str">
        <f t="shared" si="0"/>
        <v>人民币</v>
      </c>
      <c r="N53" s="4" t="str">
        <f>"980149593788"</f>
        <v>980149593788</v>
      </c>
      <c r="O53" s="4" t="str">
        <f t="shared" si="1"/>
        <v>300100052893</v>
      </c>
    </row>
    <row r="54" spans="1:15">
      <c r="A54" s="4" t="str">
        <f t="shared" si="52"/>
        <v>20170810</v>
      </c>
      <c r="B54" s="4" t="str">
        <f t="shared" si="53"/>
        <v>20170810</v>
      </c>
      <c r="C54" s="4" t="str">
        <f>"证券买入"</f>
        <v>证券买入</v>
      </c>
      <c r="D54" s="4" t="str">
        <f>"300195"</f>
        <v>300195</v>
      </c>
      <c r="E54" s="4" t="str">
        <f>"长荣股份"</f>
        <v>长荣股份</v>
      </c>
      <c r="F54" s="4">
        <v>14.78</v>
      </c>
      <c r="G54" s="4">
        <v>1500</v>
      </c>
      <c r="H54" s="4">
        <v>22170</v>
      </c>
      <c r="I54" s="4">
        <v>-22176.87</v>
      </c>
      <c r="J54" s="4">
        <v>-32724.66</v>
      </c>
      <c r="K54" s="4">
        <v>1500</v>
      </c>
      <c r="L54" s="4" t="str">
        <f t="shared" si="0"/>
        <v>人民币</v>
      </c>
      <c r="M54" s="4" t="str">
        <f>"T4000618"</f>
        <v>T4000618</v>
      </c>
      <c r="N54" s="4" t="str">
        <f t="shared" ref="N54:N59" si="54">"0149593788"</f>
        <v>0149593788</v>
      </c>
      <c r="O54" s="4" t="str">
        <f t="shared" si="1"/>
        <v>300100052893</v>
      </c>
    </row>
    <row r="55" spans="1:15">
      <c r="A55" s="4" t="str">
        <f t="shared" si="52"/>
        <v>20170810</v>
      </c>
      <c r="B55" s="4" t="str">
        <f t="shared" si="53"/>
        <v>20170810</v>
      </c>
      <c r="C55" s="4" t="str">
        <f t="shared" si="51"/>
        <v>证券卖出</v>
      </c>
      <c r="D55" s="4" t="str">
        <f>"150182"</f>
        <v>150182</v>
      </c>
      <c r="E55" s="4" t="str">
        <f>"军工B"</f>
        <v>军工B</v>
      </c>
      <c r="F55" s="4">
        <v>0.848</v>
      </c>
      <c r="G55" s="4">
        <v>10000</v>
      </c>
      <c r="H55" s="4">
        <v>8480</v>
      </c>
      <c r="I55" s="4">
        <v>8475</v>
      </c>
      <c r="J55" s="4">
        <v>-24249.66</v>
      </c>
      <c r="K55" s="4">
        <v>0</v>
      </c>
      <c r="L55" s="4" t="str">
        <f t="shared" si="0"/>
        <v>人民币</v>
      </c>
      <c r="M55" s="4" t="str">
        <f>"T4007105"</f>
        <v>T4007105</v>
      </c>
      <c r="N55" s="4" t="str">
        <f t="shared" si="54"/>
        <v>0149593788</v>
      </c>
      <c r="O55" s="4" t="str">
        <f t="shared" si="1"/>
        <v>300100052893</v>
      </c>
    </row>
    <row r="56" spans="1:15">
      <c r="A56" s="4" t="str">
        <f t="shared" si="52"/>
        <v>20170810</v>
      </c>
      <c r="B56" s="4" t="str">
        <f t="shared" si="53"/>
        <v>20170810</v>
      </c>
      <c r="C56" s="4" t="str">
        <f>"证券买入"</f>
        <v>证券买入</v>
      </c>
      <c r="D56" s="4" t="str">
        <f t="shared" ref="D56:D61" si="55">"150153"</f>
        <v>150153</v>
      </c>
      <c r="E56" s="4" t="str">
        <f t="shared" ref="E56:E61" si="56">"创业板B"</f>
        <v>创业板B</v>
      </c>
      <c r="F56" s="4">
        <v>0.587</v>
      </c>
      <c r="G56" s="4">
        <v>10000</v>
      </c>
      <c r="H56" s="4">
        <v>5870</v>
      </c>
      <c r="I56" s="4">
        <v>-5875</v>
      </c>
      <c r="J56" s="4">
        <v>-30124.66</v>
      </c>
      <c r="K56" s="4">
        <v>20000</v>
      </c>
      <c r="L56" s="4" t="str">
        <f t="shared" si="0"/>
        <v>人民币</v>
      </c>
      <c r="M56" s="4" t="str">
        <f>"T4010081"</f>
        <v>T4010081</v>
      </c>
      <c r="N56" s="4" t="str">
        <f t="shared" si="54"/>
        <v>0149593788</v>
      </c>
      <c r="O56" s="4" t="str">
        <f t="shared" si="1"/>
        <v>300100052893</v>
      </c>
    </row>
    <row r="57" spans="1:15">
      <c r="A57" s="4" t="str">
        <f t="shared" si="52"/>
        <v>20170810</v>
      </c>
      <c r="B57" s="4" t="str">
        <f t="shared" si="53"/>
        <v>20170810</v>
      </c>
      <c r="C57" s="4" t="str">
        <f t="shared" si="51"/>
        <v>证券卖出</v>
      </c>
      <c r="D57" s="4" t="str">
        <f>"000670"</f>
        <v>000670</v>
      </c>
      <c r="E57" s="4" t="str">
        <f>"盈方微"</f>
        <v>盈方微</v>
      </c>
      <c r="F57" s="4">
        <v>5.98</v>
      </c>
      <c r="G57" s="4">
        <v>2000</v>
      </c>
      <c r="H57" s="4">
        <v>11960</v>
      </c>
      <c r="I57" s="4">
        <v>11943.04</v>
      </c>
      <c r="J57" s="4">
        <v>-18181.62</v>
      </c>
      <c r="K57" s="4">
        <v>0</v>
      </c>
      <c r="L57" s="4" t="str">
        <f t="shared" si="0"/>
        <v>人民币</v>
      </c>
      <c r="M57" s="4" t="str">
        <f>"T4010194"</f>
        <v>T4010194</v>
      </c>
      <c r="N57" s="4" t="str">
        <f t="shared" si="54"/>
        <v>0149593788</v>
      </c>
      <c r="O57" s="4" t="str">
        <f t="shared" si="1"/>
        <v>300100052893</v>
      </c>
    </row>
    <row r="58" spans="1:15">
      <c r="A58" s="4" t="str">
        <f t="shared" si="52"/>
        <v>20170810</v>
      </c>
      <c r="B58" s="4" t="str">
        <f t="shared" si="53"/>
        <v>20170810</v>
      </c>
      <c r="C58" s="4" t="str">
        <f t="shared" si="51"/>
        <v>证券卖出</v>
      </c>
      <c r="D58" s="4" t="str">
        <f>"300463"</f>
        <v>300463</v>
      </c>
      <c r="E58" s="4" t="str">
        <f>"迈克生物"</f>
        <v>迈克生物</v>
      </c>
      <c r="F58" s="4">
        <v>24.75</v>
      </c>
      <c r="G58" s="4">
        <v>500</v>
      </c>
      <c r="H58" s="4">
        <v>12375</v>
      </c>
      <c r="I58" s="4">
        <v>12357.62</v>
      </c>
      <c r="J58" s="4">
        <v>-5824</v>
      </c>
      <c r="K58" s="4">
        <v>0</v>
      </c>
      <c r="L58" s="4" t="str">
        <f t="shared" si="0"/>
        <v>人民币</v>
      </c>
      <c r="M58" s="4" t="str">
        <f>"T4010826"</f>
        <v>T4010826</v>
      </c>
      <c r="N58" s="4" t="str">
        <f t="shared" si="54"/>
        <v>0149593788</v>
      </c>
      <c r="O58" s="4" t="str">
        <f t="shared" si="1"/>
        <v>300100052893</v>
      </c>
    </row>
    <row r="59" spans="1:15">
      <c r="A59" s="4" t="str">
        <f t="shared" si="52"/>
        <v>20170810</v>
      </c>
      <c r="B59" s="4" t="str">
        <f t="shared" si="53"/>
        <v>20170810</v>
      </c>
      <c r="C59" s="4" t="str">
        <f t="shared" si="51"/>
        <v>证券卖出</v>
      </c>
      <c r="D59" s="4" t="str">
        <f t="shared" si="55"/>
        <v>150153</v>
      </c>
      <c r="E59" s="4" t="str">
        <f t="shared" si="56"/>
        <v>创业板B</v>
      </c>
      <c r="F59" s="4">
        <v>0.583</v>
      </c>
      <c r="G59" s="4">
        <v>10000</v>
      </c>
      <c r="H59" s="4">
        <v>5830</v>
      </c>
      <c r="I59" s="4">
        <v>5825</v>
      </c>
      <c r="J59" s="4">
        <v>1</v>
      </c>
      <c r="K59" s="4">
        <v>10000</v>
      </c>
      <c r="L59" s="4" t="str">
        <f t="shared" si="0"/>
        <v>人民币</v>
      </c>
      <c r="M59" s="4" t="str">
        <f>"T4010880"</f>
        <v>T4010880</v>
      </c>
      <c r="N59" s="4" t="str">
        <f t="shared" si="54"/>
        <v>0149593788</v>
      </c>
      <c r="O59" s="4" t="str">
        <f t="shared" si="1"/>
        <v>300100052893</v>
      </c>
    </row>
    <row r="60" spans="1:15">
      <c r="A60" s="4" t="str">
        <f t="shared" ref="A60:A64" si="57">"20170811"</f>
        <v>20170811</v>
      </c>
      <c r="B60" s="4" t="str">
        <f t="shared" ref="B60:B64" si="58">"20170811"</f>
        <v>20170811</v>
      </c>
      <c r="C60" s="4" t="str">
        <f>"基金申购拨出"</f>
        <v>基金申购拨出</v>
      </c>
      <c r="D60" s="4" t="str">
        <f>"AA0007"</f>
        <v>AA0007</v>
      </c>
      <c r="E60" s="4" t="str">
        <f>"银河水星1号集合"</f>
        <v>银河水星1号集合</v>
      </c>
      <c r="F60" s="4">
        <v>0</v>
      </c>
      <c r="G60" s="4">
        <v>0</v>
      </c>
      <c r="H60" s="4">
        <v>0</v>
      </c>
      <c r="I60" s="4">
        <v>-13251.68</v>
      </c>
      <c r="J60" s="4">
        <v>-13250.68</v>
      </c>
      <c r="K60" s="4">
        <v>0</v>
      </c>
      <c r="L60" s="4" t="str">
        <f t="shared" si="0"/>
        <v>人民币</v>
      </c>
      <c r="N60" s="4" t="str">
        <f>"980149593788"</f>
        <v>980149593788</v>
      </c>
      <c r="O60" s="4" t="str">
        <f t="shared" si="1"/>
        <v>300100052893</v>
      </c>
    </row>
    <row r="61" spans="1:15">
      <c r="A61" s="4" t="str">
        <f t="shared" si="57"/>
        <v>20170811</v>
      </c>
      <c r="B61" s="4" t="str">
        <f t="shared" si="58"/>
        <v>20170811</v>
      </c>
      <c r="C61" s="4" t="str">
        <f>"证券买入"</f>
        <v>证券买入</v>
      </c>
      <c r="D61" s="4" t="str">
        <f t="shared" si="55"/>
        <v>150153</v>
      </c>
      <c r="E61" s="4" t="str">
        <f t="shared" si="56"/>
        <v>创业板B</v>
      </c>
      <c r="F61" s="4">
        <v>0.569</v>
      </c>
      <c r="G61" s="4">
        <v>10000</v>
      </c>
      <c r="H61" s="4">
        <v>5690</v>
      </c>
      <c r="I61" s="4">
        <v>-5695</v>
      </c>
      <c r="J61" s="4">
        <v>-18945.68</v>
      </c>
      <c r="K61" s="4">
        <v>20000</v>
      </c>
      <c r="L61" s="4" t="str">
        <f t="shared" si="0"/>
        <v>人民币</v>
      </c>
      <c r="M61" s="4" t="str">
        <f>"T4000736"</f>
        <v>T4000736</v>
      </c>
      <c r="N61" s="4" t="str">
        <f t="shared" ref="N61:N64" si="59">"0149593788"</f>
        <v>0149593788</v>
      </c>
      <c r="O61" s="4" t="str">
        <f t="shared" si="1"/>
        <v>300100052893</v>
      </c>
    </row>
    <row r="62" spans="1:15">
      <c r="A62" s="4" t="str">
        <f t="shared" si="57"/>
        <v>20170811</v>
      </c>
      <c r="B62" s="4" t="str">
        <f t="shared" si="58"/>
        <v>20170811</v>
      </c>
      <c r="C62" s="4" t="str">
        <f>"证券买入"</f>
        <v>证券买入</v>
      </c>
      <c r="D62" s="4" t="str">
        <f>"150182"</f>
        <v>150182</v>
      </c>
      <c r="E62" s="4" t="str">
        <f>"军工B"</f>
        <v>军工B</v>
      </c>
      <c r="F62" s="4">
        <v>0.84</v>
      </c>
      <c r="G62" s="4">
        <v>10000</v>
      </c>
      <c r="H62" s="4">
        <v>8400</v>
      </c>
      <c r="I62" s="4">
        <v>-8405</v>
      </c>
      <c r="J62" s="4">
        <v>-27350.68</v>
      </c>
      <c r="K62" s="4">
        <v>10000</v>
      </c>
      <c r="L62" s="4" t="str">
        <f t="shared" si="0"/>
        <v>人民币</v>
      </c>
      <c r="M62" s="4" t="str">
        <f>"T4002137"</f>
        <v>T4002137</v>
      </c>
      <c r="N62" s="4" t="str">
        <f t="shared" si="59"/>
        <v>0149593788</v>
      </c>
      <c r="O62" s="4" t="str">
        <f t="shared" si="1"/>
        <v>300100052893</v>
      </c>
    </row>
    <row r="63" spans="1:15">
      <c r="A63" s="4" t="str">
        <f t="shared" si="57"/>
        <v>20170811</v>
      </c>
      <c r="B63" s="4" t="str">
        <f t="shared" si="58"/>
        <v>20170811</v>
      </c>
      <c r="C63" s="4" t="str">
        <f t="shared" ref="C63:C67" si="60">"证券卖出"</f>
        <v>证券卖出</v>
      </c>
      <c r="D63" s="4" t="str">
        <f>"150153"</f>
        <v>150153</v>
      </c>
      <c r="E63" s="4" t="str">
        <f>"创业板B"</f>
        <v>创业板B</v>
      </c>
      <c r="F63" s="4">
        <v>0.577</v>
      </c>
      <c r="G63" s="4">
        <v>10000</v>
      </c>
      <c r="H63" s="4">
        <v>5770</v>
      </c>
      <c r="I63" s="4">
        <v>5765</v>
      </c>
      <c r="J63" s="4">
        <v>-21585.68</v>
      </c>
      <c r="K63" s="4">
        <v>10000</v>
      </c>
      <c r="L63" s="4" t="str">
        <f t="shared" si="0"/>
        <v>人民币</v>
      </c>
      <c r="M63" s="4" t="str">
        <f>"T4005742"</f>
        <v>T4005742</v>
      </c>
      <c r="N63" s="4" t="str">
        <f t="shared" si="59"/>
        <v>0149593788</v>
      </c>
      <c r="O63" s="4" t="str">
        <f t="shared" si="1"/>
        <v>300100052893</v>
      </c>
    </row>
    <row r="64" spans="1:15">
      <c r="A64" s="4" t="str">
        <f t="shared" si="57"/>
        <v>20170811</v>
      </c>
      <c r="B64" s="4" t="str">
        <f t="shared" si="58"/>
        <v>20170811</v>
      </c>
      <c r="C64" s="4" t="str">
        <f t="shared" si="60"/>
        <v>证券卖出</v>
      </c>
      <c r="D64" s="4" t="str">
        <f>"300195"</f>
        <v>300195</v>
      </c>
      <c r="E64" s="4" t="str">
        <f>"长荣股份"</f>
        <v>长荣股份</v>
      </c>
      <c r="F64" s="4">
        <v>14.41</v>
      </c>
      <c r="G64" s="4">
        <v>1500</v>
      </c>
      <c r="H64" s="4">
        <v>21615</v>
      </c>
      <c r="I64" s="4">
        <v>21586.68</v>
      </c>
      <c r="J64" s="4">
        <v>1</v>
      </c>
      <c r="K64" s="4">
        <v>0</v>
      </c>
      <c r="L64" s="4" t="str">
        <f t="shared" si="0"/>
        <v>人民币</v>
      </c>
      <c r="M64" s="4" t="str">
        <f>"T4005790"</f>
        <v>T4005790</v>
      </c>
      <c r="N64" s="4" t="str">
        <f t="shared" si="59"/>
        <v>0149593788</v>
      </c>
      <c r="O64" s="4" t="str">
        <f t="shared" si="1"/>
        <v>300100052893</v>
      </c>
    </row>
    <row r="65" spans="1:15">
      <c r="A65" s="4" t="str">
        <f t="shared" ref="A65:A69" si="61">"20170814"</f>
        <v>20170814</v>
      </c>
      <c r="B65" s="4" t="str">
        <f t="shared" ref="B65:B69" si="62">"20170814"</f>
        <v>20170814</v>
      </c>
      <c r="C65" s="4" t="str">
        <f>"基金赎回拨入"</f>
        <v>基金赎回拨入</v>
      </c>
      <c r="D65" s="4" t="str">
        <f>"AA0007"</f>
        <v>AA0007</v>
      </c>
      <c r="E65" s="4" t="str">
        <f>"银河水星1号集合"</f>
        <v>银河水星1号集合</v>
      </c>
      <c r="F65" s="4">
        <v>0</v>
      </c>
      <c r="G65" s="4">
        <v>6050</v>
      </c>
      <c r="H65" s="4">
        <v>0</v>
      </c>
      <c r="I65" s="4">
        <v>6050</v>
      </c>
      <c r="J65" s="4">
        <v>6051</v>
      </c>
      <c r="K65" s="4">
        <v>0</v>
      </c>
      <c r="L65" s="4" t="str">
        <f t="shared" si="0"/>
        <v>人民币</v>
      </c>
      <c r="N65" s="4" t="str">
        <f>"980149593788"</f>
        <v>980149593788</v>
      </c>
      <c r="O65" s="4" t="str">
        <f t="shared" si="1"/>
        <v>300100052893</v>
      </c>
    </row>
    <row r="66" spans="1:15">
      <c r="A66" s="4" t="str">
        <f t="shared" si="61"/>
        <v>20170814</v>
      </c>
      <c r="B66" s="4" t="str">
        <f t="shared" si="62"/>
        <v>20170814</v>
      </c>
      <c r="C66" s="4" t="str">
        <f t="shared" si="60"/>
        <v>证券卖出</v>
      </c>
      <c r="D66" s="4" t="str">
        <f t="shared" ref="D66:D71" si="63">"150153"</f>
        <v>150153</v>
      </c>
      <c r="E66" s="4" t="str">
        <f t="shared" ref="E66:E71" si="64">"创业板B"</f>
        <v>创业板B</v>
      </c>
      <c r="F66" s="4">
        <v>0.587</v>
      </c>
      <c r="G66" s="4">
        <v>10000</v>
      </c>
      <c r="H66" s="4">
        <v>5870</v>
      </c>
      <c r="I66" s="4">
        <v>5865</v>
      </c>
      <c r="J66" s="4">
        <v>11916</v>
      </c>
      <c r="K66" s="4">
        <v>0</v>
      </c>
      <c r="L66" s="4" t="str">
        <f t="shared" ref="L66:L129" si="65">"人民币"</f>
        <v>人民币</v>
      </c>
      <c r="M66" s="4" t="str">
        <f>"T4001760"</f>
        <v>T4001760</v>
      </c>
      <c r="N66" s="4" t="str">
        <f t="shared" ref="N66:N69" si="66">"0149593788"</f>
        <v>0149593788</v>
      </c>
      <c r="O66" s="4" t="str">
        <f t="shared" ref="O66:O129" si="67">"300100052893"</f>
        <v>300100052893</v>
      </c>
    </row>
    <row r="67" spans="1:15">
      <c r="A67" s="4" t="str">
        <f t="shared" si="61"/>
        <v>20170814</v>
      </c>
      <c r="B67" s="4" t="str">
        <f t="shared" si="62"/>
        <v>20170814</v>
      </c>
      <c r="C67" s="4" t="str">
        <f t="shared" si="60"/>
        <v>证券卖出</v>
      </c>
      <c r="D67" s="4" t="str">
        <f>"150182"</f>
        <v>150182</v>
      </c>
      <c r="E67" s="4" t="str">
        <f>"军工B"</f>
        <v>军工B</v>
      </c>
      <c r="F67" s="4">
        <v>0.829</v>
      </c>
      <c r="G67" s="4">
        <v>10000</v>
      </c>
      <c r="H67" s="4">
        <v>8290</v>
      </c>
      <c r="I67" s="4">
        <v>8285</v>
      </c>
      <c r="J67" s="4">
        <v>20201</v>
      </c>
      <c r="K67" s="4">
        <v>0</v>
      </c>
      <c r="L67" s="4" t="str">
        <f t="shared" si="65"/>
        <v>人民币</v>
      </c>
      <c r="M67" s="4" t="str">
        <f>"T4002552"</f>
        <v>T4002552</v>
      </c>
      <c r="N67" s="4" t="str">
        <f t="shared" si="66"/>
        <v>0149593788</v>
      </c>
      <c r="O67" s="4" t="str">
        <f t="shared" si="67"/>
        <v>300100052893</v>
      </c>
    </row>
    <row r="68" spans="1:15">
      <c r="A68" s="4" t="str">
        <f t="shared" si="61"/>
        <v>20170814</v>
      </c>
      <c r="B68" s="4" t="str">
        <f t="shared" si="62"/>
        <v>20170814</v>
      </c>
      <c r="C68" s="4" t="str">
        <f t="shared" ref="C68:C71" si="68">"证券买入"</f>
        <v>证券买入</v>
      </c>
      <c r="D68" s="4" t="str">
        <f>"150182"</f>
        <v>150182</v>
      </c>
      <c r="E68" s="4" t="str">
        <f>"军工B"</f>
        <v>军工B</v>
      </c>
      <c r="F68" s="4">
        <v>0.835</v>
      </c>
      <c r="G68" s="4">
        <v>10000</v>
      </c>
      <c r="H68" s="4">
        <v>8350</v>
      </c>
      <c r="I68" s="4">
        <v>-8355</v>
      </c>
      <c r="J68" s="4">
        <v>11846</v>
      </c>
      <c r="K68" s="4">
        <v>10000</v>
      </c>
      <c r="L68" s="4" t="str">
        <f t="shared" si="65"/>
        <v>人民币</v>
      </c>
      <c r="M68" s="4" t="str">
        <f>"T4002671"</f>
        <v>T4002671</v>
      </c>
      <c r="N68" s="4" t="str">
        <f t="shared" si="66"/>
        <v>0149593788</v>
      </c>
      <c r="O68" s="4" t="str">
        <f t="shared" si="67"/>
        <v>300100052893</v>
      </c>
    </row>
    <row r="69" spans="1:15">
      <c r="A69" s="4" t="str">
        <f t="shared" si="61"/>
        <v>20170814</v>
      </c>
      <c r="B69" s="4" t="str">
        <f t="shared" si="62"/>
        <v>20170814</v>
      </c>
      <c r="C69" s="4" t="str">
        <f t="shared" si="68"/>
        <v>证券买入</v>
      </c>
      <c r="D69" s="4" t="str">
        <f t="shared" si="63"/>
        <v>150153</v>
      </c>
      <c r="E69" s="4" t="str">
        <f t="shared" si="64"/>
        <v>创业板B</v>
      </c>
      <c r="F69" s="4">
        <v>0.592</v>
      </c>
      <c r="G69" s="4">
        <v>20000</v>
      </c>
      <c r="H69" s="4">
        <v>11840</v>
      </c>
      <c r="I69" s="4">
        <v>-11845</v>
      </c>
      <c r="J69" s="4">
        <v>1</v>
      </c>
      <c r="K69" s="4">
        <v>20000</v>
      </c>
      <c r="L69" s="4" t="str">
        <f t="shared" si="65"/>
        <v>人民币</v>
      </c>
      <c r="M69" s="4" t="str">
        <f>"T4002721"</f>
        <v>T4002721</v>
      </c>
      <c r="N69" s="4" t="str">
        <f t="shared" si="66"/>
        <v>0149593788</v>
      </c>
      <c r="O69" s="4" t="str">
        <f t="shared" si="67"/>
        <v>300100052893</v>
      </c>
    </row>
    <row r="70" spans="1:15">
      <c r="A70" s="4" t="str">
        <f>"20170815"</f>
        <v>20170815</v>
      </c>
      <c r="B70" s="4" t="str">
        <f>"20170815"</f>
        <v>20170815</v>
      </c>
      <c r="C70" s="4" t="str">
        <f>"基金赎回拨入"</f>
        <v>基金赎回拨入</v>
      </c>
      <c r="D70" s="4" t="str">
        <f>"AA0007"</f>
        <v>AA0007</v>
      </c>
      <c r="E70" s="4" t="str">
        <f>"银河水星1号集合"</f>
        <v>银河水星1号集合</v>
      </c>
      <c r="F70" s="4">
        <v>0</v>
      </c>
      <c r="G70" s="4">
        <v>12205</v>
      </c>
      <c r="H70" s="4">
        <v>0</v>
      </c>
      <c r="I70" s="4">
        <v>12205</v>
      </c>
      <c r="J70" s="4">
        <v>12206</v>
      </c>
      <c r="K70" s="4">
        <v>0</v>
      </c>
      <c r="L70" s="4" t="str">
        <f t="shared" si="65"/>
        <v>人民币</v>
      </c>
      <c r="N70" s="4" t="str">
        <f>"980149593788"</f>
        <v>980149593788</v>
      </c>
      <c r="O70" s="4" t="str">
        <f t="shared" si="67"/>
        <v>300100052893</v>
      </c>
    </row>
    <row r="71" spans="1:15">
      <c r="A71" s="4" t="str">
        <f>"20170815"</f>
        <v>20170815</v>
      </c>
      <c r="B71" s="4" t="str">
        <f>"20170815"</f>
        <v>20170815</v>
      </c>
      <c r="C71" s="4" t="str">
        <f t="shared" si="68"/>
        <v>证券买入</v>
      </c>
      <c r="D71" s="4" t="str">
        <f t="shared" si="63"/>
        <v>150153</v>
      </c>
      <c r="E71" s="4" t="str">
        <f t="shared" si="64"/>
        <v>创业板B</v>
      </c>
      <c r="F71" s="4">
        <v>0.61</v>
      </c>
      <c r="G71" s="4">
        <v>20000</v>
      </c>
      <c r="H71" s="4">
        <v>12200</v>
      </c>
      <c r="I71" s="4">
        <v>-12205</v>
      </c>
      <c r="J71" s="4">
        <v>1</v>
      </c>
      <c r="K71" s="4">
        <v>40000</v>
      </c>
      <c r="L71" s="4" t="str">
        <f t="shared" si="65"/>
        <v>人民币</v>
      </c>
      <c r="M71" s="4" t="str">
        <f>"T4000621"</f>
        <v>T4000621</v>
      </c>
      <c r="N71" s="4" t="str">
        <f t="shared" ref="N71:N75" si="69">"0149593788"</f>
        <v>0149593788</v>
      </c>
      <c r="O71" s="4" t="str">
        <f t="shared" si="67"/>
        <v>300100052893</v>
      </c>
    </row>
    <row r="72" spans="1:15">
      <c r="A72" s="4" t="str">
        <f t="shared" ref="A72:A75" si="70">"20170816"</f>
        <v>20170816</v>
      </c>
      <c r="B72" s="4" t="str">
        <f t="shared" ref="B72:B75" si="71">"20170816"</f>
        <v>20170816</v>
      </c>
      <c r="C72" s="4" t="str">
        <f>"基金申购拨出"</f>
        <v>基金申购拨出</v>
      </c>
      <c r="D72" s="4" t="str">
        <f>"AA0007"</f>
        <v>AA0007</v>
      </c>
      <c r="E72" s="4" t="str">
        <f>"银河水星1号集合"</f>
        <v>银河水星1号集合</v>
      </c>
      <c r="F72" s="4">
        <v>0</v>
      </c>
      <c r="G72" s="4">
        <v>0</v>
      </c>
      <c r="H72" s="4">
        <v>0</v>
      </c>
      <c r="I72" s="4">
        <v>-12565</v>
      </c>
      <c r="J72" s="4">
        <v>-12564</v>
      </c>
      <c r="K72" s="4">
        <v>0</v>
      </c>
      <c r="L72" s="4" t="str">
        <f t="shared" si="65"/>
        <v>人民币</v>
      </c>
      <c r="N72" s="4" t="str">
        <f>"980149593788"</f>
        <v>980149593788</v>
      </c>
      <c r="O72" s="4" t="str">
        <f t="shared" si="67"/>
        <v>300100052893</v>
      </c>
    </row>
    <row r="73" spans="1:15">
      <c r="A73" s="4" t="str">
        <f t="shared" si="70"/>
        <v>20170816</v>
      </c>
      <c r="B73" s="4" t="str">
        <f t="shared" si="71"/>
        <v>20170816</v>
      </c>
      <c r="C73" s="4" t="str">
        <f>"证券卖出"</f>
        <v>证券卖出</v>
      </c>
      <c r="D73" s="4" t="str">
        <f t="shared" ref="D73:D75" si="72">"150153"</f>
        <v>150153</v>
      </c>
      <c r="E73" s="4" t="str">
        <f t="shared" ref="E73:E75" si="73">"创业板B"</f>
        <v>创业板B</v>
      </c>
      <c r="F73" s="4">
        <v>0.627</v>
      </c>
      <c r="G73" s="4">
        <v>20000</v>
      </c>
      <c r="H73" s="4">
        <v>12540</v>
      </c>
      <c r="I73" s="4">
        <v>12535</v>
      </c>
      <c r="J73" s="4">
        <v>-29</v>
      </c>
      <c r="K73" s="4">
        <v>20000</v>
      </c>
      <c r="L73" s="4" t="str">
        <f t="shared" si="65"/>
        <v>人民币</v>
      </c>
      <c r="M73" s="4" t="str">
        <f>"T4007259"</f>
        <v>T4007259</v>
      </c>
      <c r="N73" s="4" t="str">
        <f t="shared" si="69"/>
        <v>0149593788</v>
      </c>
      <c r="O73" s="4" t="str">
        <f t="shared" si="67"/>
        <v>300100052893</v>
      </c>
    </row>
    <row r="74" spans="1:15">
      <c r="A74" s="4" t="str">
        <f t="shared" si="70"/>
        <v>20170816</v>
      </c>
      <c r="B74" s="4" t="str">
        <f t="shared" si="71"/>
        <v>20170816</v>
      </c>
      <c r="C74" s="4" t="str">
        <f t="shared" ref="C74:C78" si="74">"证券买入"</f>
        <v>证券买入</v>
      </c>
      <c r="D74" s="4" t="str">
        <f t="shared" si="72"/>
        <v>150153</v>
      </c>
      <c r="E74" s="4" t="str">
        <f t="shared" si="73"/>
        <v>创业板B</v>
      </c>
      <c r="F74" s="4">
        <v>0.624</v>
      </c>
      <c r="G74" s="4">
        <v>20000</v>
      </c>
      <c r="H74" s="4">
        <v>12480</v>
      </c>
      <c r="I74" s="4">
        <v>-12485</v>
      </c>
      <c r="J74" s="4">
        <v>-12514</v>
      </c>
      <c r="K74" s="4">
        <v>40000</v>
      </c>
      <c r="L74" s="4" t="str">
        <f t="shared" si="65"/>
        <v>人民币</v>
      </c>
      <c r="M74" s="4" t="str">
        <f>"T4008108"</f>
        <v>T4008108</v>
      </c>
      <c r="N74" s="4" t="str">
        <f t="shared" si="69"/>
        <v>0149593788</v>
      </c>
      <c r="O74" s="4" t="str">
        <f t="shared" si="67"/>
        <v>300100052893</v>
      </c>
    </row>
    <row r="75" spans="1:15">
      <c r="A75" s="4" t="str">
        <f t="shared" si="70"/>
        <v>20170816</v>
      </c>
      <c r="B75" s="4" t="str">
        <f t="shared" si="71"/>
        <v>20170816</v>
      </c>
      <c r="C75" s="4" t="str">
        <f>"证券卖出"</f>
        <v>证券卖出</v>
      </c>
      <c r="D75" s="4" t="str">
        <f t="shared" si="72"/>
        <v>150153</v>
      </c>
      <c r="E75" s="4" t="str">
        <f t="shared" si="73"/>
        <v>创业板B</v>
      </c>
      <c r="F75" s="4">
        <v>0.626</v>
      </c>
      <c r="G75" s="4">
        <v>20000</v>
      </c>
      <c r="H75" s="4">
        <v>12520</v>
      </c>
      <c r="I75" s="4">
        <v>12515</v>
      </c>
      <c r="J75" s="4">
        <v>1</v>
      </c>
      <c r="K75" s="4">
        <v>20000</v>
      </c>
      <c r="L75" s="4" t="str">
        <f t="shared" si="65"/>
        <v>人民币</v>
      </c>
      <c r="M75" s="4" t="str">
        <f>"T4008319"</f>
        <v>T4008319</v>
      </c>
      <c r="N75" s="4" t="str">
        <f t="shared" si="69"/>
        <v>0149593788</v>
      </c>
      <c r="O75" s="4" t="str">
        <f t="shared" si="67"/>
        <v>300100052893</v>
      </c>
    </row>
    <row r="76" spans="1:15">
      <c r="A76" s="4" t="str">
        <f t="shared" ref="A76:A79" si="75">"20170817"</f>
        <v>20170817</v>
      </c>
      <c r="B76" s="4" t="str">
        <f t="shared" ref="B76:B79" si="76">"20170817"</f>
        <v>20170817</v>
      </c>
      <c r="C76" s="4" t="str">
        <f>"基金赎回拨入"</f>
        <v>基金赎回拨入</v>
      </c>
      <c r="D76" s="4" t="str">
        <f>"AA0007"</f>
        <v>AA0007</v>
      </c>
      <c r="E76" s="4" t="str">
        <f>"银河水星1号集合"</f>
        <v>银河水星1号集合</v>
      </c>
      <c r="F76" s="4">
        <v>0</v>
      </c>
      <c r="G76" s="4">
        <v>8815</v>
      </c>
      <c r="H76" s="4">
        <v>0</v>
      </c>
      <c r="I76" s="4">
        <v>8815</v>
      </c>
      <c r="J76" s="4">
        <v>8816</v>
      </c>
      <c r="K76" s="4">
        <v>0</v>
      </c>
      <c r="L76" s="4" t="str">
        <f t="shared" si="65"/>
        <v>人民币</v>
      </c>
      <c r="N76" s="4" t="str">
        <f>"980149593788"</f>
        <v>980149593788</v>
      </c>
      <c r="O76" s="4" t="str">
        <f t="shared" si="67"/>
        <v>300100052893</v>
      </c>
    </row>
    <row r="77" spans="1:15">
      <c r="A77" s="4" t="str">
        <f t="shared" si="75"/>
        <v>20170817</v>
      </c>
      <c r="B77" s="4" t="str">
        <f t="shared" si="76"/>
        <v>20170817</v>
      </c>
      <c r="C77" s="4" t="str">
        <f t="shared" si="74"/>
        <v>证券买入</v>
      </c>
      <c r="D77" s="4" t="str">
        <f t="shared" ref="D77:D82" si="77">"150153"</f>
        <v>150153</v>
      </c>
      <c r="E77" s="4" t="str">
        <f t="shared" ref="E77:E82" si="78">"创业板B"</f>
        <v>创业板B</v>
      </c>
      <c r="F77" s="4">
        <v>0.624</v>
      </c>
      <c r="G77" s="4">
        <v>20000</v>
      </c>
      <c r="H77" s="4">
        <v>12480</v>
      </c>
      <c r="I77" s="4">
        <v>-12485</v>
      </c>
      <c r="J77" s="4">
        <v>-3669</v>
      </c>
      <c r="K77" s="4">
        <v>40000</v>
      </c>
      <c r="L77" s="4" t="str">
        <f t="shared" si="65"/>
        <v>人民币</v>
      </c>
      <c r="M77" s="4" t="str">
        <f>"T4001381"</f>
        <v>T4001381</v>
      </c>
      <c r="N77" s="4" t="str">
        <f t="shared" ref="N77:N79" si="79">"0149593788"</f>
        <v>0149593788</v>
      </c>
      <c r="O77" s="4" t="str">
        <f t="shared" si="67"/>
        <v>300100052893</v>
      </c>
    </row>
    <row r="78" spans="1:15">
      <c r="A78" s="4" t="str">
        <f t="shared" si="75"/>
        <v>20170817</v>
      </c>
      <c r="B78" s="4" t="str">
        <f t="shared" si="76"/>
        <v>20170817</v>
      </c>
      <c r="C78" s="4" t="str">
        <f t="shared" si="74"/>
        <v>证券买入</v>
      </c>
      <c r="D78" s="4" t="str">
        <f t="shared" ref="D78:D83" si="80">"150182"</f>
        <v>150182</v>
      </c>
      <c r="E78" s="4" t="str">
        <f t="shared" ref="E78:E83" si="81">"军工B"</f>
        <v>军工B</v>
      </c>
      <c r="F78" s="4">
        <v>0.884</v>
      </c>
      <c r="G78" s="4">
        <v>10000</v>
      </c>
      <c r="H78" s="4">
        <v>8840</v>
      </c>
      <c r="I78" s="4">
        <v>-8845</v>
      </c>
      <c r="J78" s="4">
        <v>-12514</v>
      </c>
      <c r="K78" s="4">
        <v>20000</v>
      </c>
      <c r="L78" s="4" t="str">
        <f t="shared" si="65"/>
        <v>人民币</v>
      </c>
      <c r="M78" s="4" t="str">
        <f>"T4001508"</f>
        <v>T4001508</v>
      </c>
      <c r="N78" s="4" t="str">
        <f t="shared" si="79"/>
        <v>0149593788</v>
      </c>
      <c r="O78" s="4" t="str">
        <f t="shared" si="67"/>
        <v>300100052893</v>
      </c>
    </row>
    <row r="79" spans="1:15">
      <c r="A79" s="4" t="str">
        <f t="shared" si="75"/>
        <v>20170817</v>
      </c>
      <c r="B79" s="4" t="str">
        <f t="shared" si="76"/>
        <v>20170817</v>
      </c>
      <c r="C79" s="4" t="str">
        <f t="shared" ref="C79:C83" si="82">"证券卖出"</f>
        <v>证券卖出</v>
      </c>
      <c r="D79" s="4" t="str">
        <f t="shared" si="77"/>
        <v>150153</v>
      </c>
      <c r="E79" s="4" t="str">
        <f t="shared" si="78"/>
        <v>创业板B</v>
      </c>
      <c r="F79" s="4">
        <v>0.626</v>
      </c>
      <c r="G79" s="4">
        <v>20000</v>
      </c>
      <c r="H79" s="4">
        <v>12520</v>
      </c>
      <c r="I79" s="4">
        <v>12515</v>
      </c>
      <c r="J79" s="4">
        <v>1</v>
      </c>
      <c r="K79" s="4">
        <v>20000</v>
      </c>
      <c r="L79" s="4" t="str">
        <f t="shared" si="65"/>
        <v>人民币</v>
      </c>
      <c r="M79" s="4" t="str">
        <f>"T4003270"</f>
        <v>T4003270</v>
      </c>
      <c r="N79" s="4" t="str">
        <f t="shared" si="79"/>
        <v>0149593788</v>
      </c>
      <c r="O79" s="4" t="str">
        <f t="shared" si="67"/>
        <v>300100052893</v>
      </c>
    </row>
    <row r="80" spans="1:15">
      <c r="A80" s="4" t="str">
        <f t="shared" ref="A80:A84" si="83">"20170818"</f>
        <v>20170818</v>
      </c>
      <c r="B80" s="4" t="str">
        <f t="shared" ref="B80:B84" si="84">"20170818"</f>
        <v>20170818</v>
      </c>
      <c r="C80" s="4" t="str">
        <f>"基金赎回拨入"</f>
        <v>基金赎回拨入</v>
      </c>
      <c r="D80" s="4" t="str">
        <f>"AA0007"</f>
        <v>AA0007</v>
      </c>
      <c r="E80" s="4" t="str">
        <f>"银河水星1号集合"</f>
        <v>银河水星1号集合</v>
      </c>
      <c r="F80" s="4">
        <v>0</v>
      </c>
      <c r="G80" s="4">
        <v>60</v>
      </c>
      <c r="H80" s="4">
        <v>0</v>
      </c>
      <c r="I80" s="4">
        <v>60.75</v>
      </c>
      <c r="J80" s="4">
        <v>61.75</v>
      </c>
      <c r="K80" s="4">
        <v>0</v>
      </c>
      <c r="L80" s="4" t="str">
        <f t="shared" si="65"/>
        <v>人民币</v>
      </c>
      <c r="N80" s="4" t="str">
        <f>"980149593788"</f>
        <v>980149593788</v>
      </c>
      <c r="O80" s="4" t="str">
        <f t="shared" si="67"/>
        <v>300100052893</v>
      </c>
    </row>
    <row r="81" spans="1:15">
      <c r="A81" s="4" t="str">
        <f t="shared" si="83"/>
        <v>20170818</v>
      </c>
      <c r="B81" s="4" t="str">
        <f t="shared" si="84"/>
        <v>20170818</v>
      </c>
      <c r="C81" s="4" t="str">
        <f t="shared" ref="C81:C87" si="85">"证券买入"</f>
        <v>证券买入</v>
      </c>
      <c r="D81" s="4" t="str">
        <f t="shared" si="80"/>
        <v>150182</v>
      </c>
      <c r="E81" s="4" t="str">
        <f t="shared" si="81"/>
        <v>军工B</v>
      </c>
      <c r="F81" s="4">
        <v>0.871</v>
      </c>
      <c r="G81" s="4">
        <v>20000</v>
      </c>
      <c r="H81" s="4">
        <v>17420</v>
      </c>
      <c r="I81" s="4">
        <v>-17425.4</v>
      </c>
      <c r="J81" s="4">
        <v>-17363.65</v>
      </c>
      <c r="K81" s="4">
        <v>40000</v>
      </c>
      <c r="L81" s="4" t="str">
        <f t="shared" si="65"/>
        <v>人民币</v>
      </c>
      <c r="M81" s="4" t="str">
        <f>"T4002681"</f>
        <v>T4002681</v>
      </c>
      <c r="N81" s="4" t="str">
        <f t="shared" ref="N81:N84" si="86">"0149593788"</f>
        <v>0149593788</v>
      </c>
      <c r="O81" s="4" t="str">
        <f t="shared" si="67"/>
        <v>300100052893</v>
      </c>
    </row>
    <row r="82" spans="1:15">
      <c r="A82" s="4" t="str">
        <f t="shared" si="83"/>
        <v>20170818</v>
      </c>
      <c r="B82" s="4" t="str">
        <f t="shared" si="84"/>
        <v>20170818</v>
      </c>
      <c r="C82" s="4" t="str">
        <f t="shared" si="82"/>
        <v>证券卖出</v>
      </c>
      <c r="D82" s="4" t="str">
        <f t="shared" si="77"/>
        <v>150153</v>
      </c>
      <c r="E82" s="4" t="str">
        <f t="shared" si="78"/>
        <v>创业板B</v>
      </c>
      <c r="F82" s="4">
        <v>0.635</v>
      </c>
      <c r="G82" s="4">
        <v>20000</v>
      </c>
      <c r="H82" s="4">
        <v>12700</v>
      </c>
      <c r="I82" s="4">
        <v>12695</v>
      </c>
      <c r="J82" s="4">
        <v>-4668.65</v>
      </c>
      <c r="K82" s="4">
        <v>0</v>
      </c>
      <c r="L82" s="4" t="str">
        <f t="shared" si="65"/>
        <v>人民币</v>
      </c>
      <c r="M82" s="4" t="str">
        <f>"T4005044"</f>
        <v>T4005044</v>
      </c>
      <c r="N82" s="4" t="str">
        <f t="shared" si="86"/>
        <v>0149593788</v>
      </c>
      <c r="O82" s="4" t="str">
        <f t="shared" si="67"/>
        <v>300100052893</v>
      </c>
    </row>
    <row r="83" spans="1:15">
      <c r="A83" s="4" t="str">
        <f t="shared" si="83"/>
        <v>20170818</v>
      </c>
      <c r="B83" s="4" t="str">
        <f t="shared" si="84"/>
        <v>20170818</v>
      </c>
      <c r="C83" s="4" t="str">
        <f t="shared" si="82"/>
        <v>证券卖出</v>
      </c>
      <c r="D83" s="4" t="str">
        <f t="shared" si="80"/>
        <v>150182</v>
      </c>
      <c r="E83" s="4" t="str">
        <f t="shared" si="81"/>
        <v>军工B</v>
      </c>
      <c r="F83" s="4">
        <v>0.865</v>
      </c>
      <c r="G83" s="4">
        <v>20000</v>
      </c>
      <c r="H83" s="4">
        <v>17300.01</v>
      </c>
      <c r="I83" s="4">
        <v>17294.65</v>
      </c>
      <c r="J83" s="4">
        <v>12626</v>
      </c>
      <c r="K83" s="4">
        <v>20000</v>
      </c>
      <c r="L83" s="4" t="str">
        <f t="shared" si="65"/>
        <v>人民币</v>
      </c>
      <c r="M83" s="4" t="str">
        <f>"T4006923"</f>
        <v>T4006923</v>
      </c>
      <c r="N83" s="4" t="str">
        <f t="shared" si="86"/>
        <v>0149593788</v>
      </c>
      <c r="O83" s="4" t="str">
        <f t="shared" si="67"/>
        <v>300100052893</v>
      </c>
    </row>
    <row r="84" spans="1:15">
      <c r="A84" s="4" t="str">
        <f t="shared" si="83"/>
        <v>20170818</v>
      </c>
      <c r="B84" s="4" t="str">
        <f t="shared" si="84"/>
        <v>20170818</v>
      </c>
      <c r="C84" s="4" t="str">
        <f t="shared" si="85"/>
        <v>证券买入</v>
      </c>
      <c r="D84" s="4" t="str">
        <f t="shared" ref="D84:D89" si="87">"150153"</f>
        <v>150153</v>
      </c>
      <c r="E84" s="4" t="str">
        <f t="shared" ref="E84:E89" si="88">"创业板B"</f>
        <v>创业板B</v>
      </c>
      <c r="F84" s="4">
        <v>0.631</v>
      </c>
      <c r="G84" s="4">
        <v>20000</v>
      </c>
      <c r="H84" s="4">
        <v>12620</v>
      </c>
      <c r="I84" s="4">
        <v>-12625</v>
      </c>
      <c r="J84" s="4">
        <v>1</v>
      </c>
      <c r="K84" s="4">
        <v>20000</v>
      </c>
      <c r="L84" s="4" t="str">
        <f t="shared" si="65"/>
        <v>人民币</v>
      </c>
      <c r="M84" s="4" t="str">
        <f>"T4008632"</f>
        <v>T4008632</v>
      </c>
      <c r="N84" s="4" t="str">
        <f t="shared" si="86"/>
        <v>0149593788</v>
      </c>
      <c r="O84" s="4" t="str">
        <f t="shared" si="67"/>
        <v>300100052893</v>
      </c>
    </row>
    <row r="85" spans="1:15">
      <c r="A85" s="4" t="str">
        <f t="shared" ref="A85:A89" si="89">"20170822"</f>
        <v>20170822</v>
      </c>
      <c r="B85" s="4" t="str">
        <f t="shared" ref="B85:B89" si="90">"20170822"</f>
        <v>20170822</v>
      </c>
      <c r="C85" s="4" t="str">
        <f>"基金赎回拨入"</f>
        <v>基金赎回拨入</v>
      </c>
      <c r="D85" s="4" t="str">
        <f>"AA0007"</f>
        <v>AA0007</v>
      </c>
      <c r="E85" s="4" t="str">
        <f>"银河水星1号集合"</f>
        <v>银河水星1号集合</v>
      </c>
      <c r="F85" s="4">
        <v>0</v>
      </c>
      <c r="G85" s="4">
        <v>29780</v>
      </c>
      <c r="H85" s="4">
        <v>0</v>
      </c>
      <c r="I85" s="4">
        <v>29780.33</v>
      </c>
      <c r="J85" s="4">
        <v>29781.33</v>
      </c>
      <c r="K85" s="4">
        <v>0</v>
      </c>
      <c r="L85" s="4" t="str">
        <f t="shared" si="65"/>
        <v>人民币</v>
      </c>
      <c r="N85" s="4" t="str">
        <f>"980149593788"</f>
        <v>980149593788</v>
      </c>
      <c r="O85" s="4" t="str">
        <f t="shared" si="67"/>
        <v>300100052893</v>
      </c>
    </row>
    <row r="86" spans="1:15">
      <c r="A86" s="4" t="str">
        <f t="shared" si="89"/>
        <v>20170822</v>
      </c>
      <c r="B86" s="4" t="str">
        <f t="shared" si="90"/>
        <v>20170822</v>
      </c>
      <c r="C86" s="4" t="str">
        <f t="shared" si="85"/>
        <v>证券买入</v>
      </c>
      <c r="D86" s="4" t="str">
        <f>"150182"</f>
        <v>150182</v>
      </c>
      <c r="E86" s="4" t="str">
        <f>"军工B"</f>
        <v>军工B</v>
      </c>
      <c r="F86" s="4">
        <v>0.86</v>
      </c>
      <c r="G86" s="4">
        <v>20000</v>
      </c>
      <c r="H86" s="4">
        <v>17200</v>
      </c>
      <c r="I86" s="4">
        <v>-17205.33</v>
      </c>
      <c r="J86" s="4">
        <v>12576</v>
      </c>
      <c r="K86" s="4">
        <v>40000</v>
      </c>
      <c r="L86" s="4" t="str">
        <f t="shared" si="65"/>
        <v>人民币</v>
      </c>
      <c r="M86" s="4" t="str">
        <f>"T4002346"</f>
        <v>T4002346</v>
      </c>
      <c r="N86" s="4" t="str">
        <f t="shared" ref="N86:N89" si="91">"0149593788"</f>
        <v>0149593788</v>
      </c>
      <c r="O86" s="4" t="str">
        <f t="shared" si="67"/>
        <v>300100052893</v>
      </c>
    </row>
    <row r="87" spans="1:15">
      <c r="A87" s="4" t="str">
        <f t="shared" si="89"/>
        <v>20170822</v>
      </c>
      <c r="B87" s="4" t="str">
        <f t="shared" si="90"/>
        <v>20170822</v>
      </c>
      <c r="C87" s="4" t="str">
        <f t="shared" si="85"/>
        <v>证券买入</v>
      </c>
      <c r="D87" s="4" t="str">
        <f t="shared" si="87"/>
        <v>150153</v>
      </c>
      <c r="E87" s="4" t="str">
        <f t="shared" si="88"/>
        <v>创业板B</v>
      </c>
      <c r="F87" s="4">
        <v>0.628</v>
      </c>
      <c r="G87" s="4">
        <v>20000</v>
      </c>
      <c r="H87" s="4">
        <v>12560</v>
      </c>
      <c r="I87" s="4">
        <v>-12565</v>
      </c>
      <c r="J87" s="4">
        <v>11</v>
      </c>
      <c r="K87" s="4">
        <v>40000</v>
      </c>
      <c r="L87" s="4" t="str">
        <f t="shared" si="65"/>
        <v>人民币</v>
      </c>
      <c r="M87" s="4" t="str">
        <f>"T4006022"</f>
        <v>T4006022</v>
      </c>
      <c r="N87" s="4" t="str">
        <f t="shared" si="91"/>
        <v>0149593788</v>
      </c>
      <c r="O87" s="4" t="str">
        <f t="shared" si="67"/>
        <v>300100052893</v>
      </c>
    </row>
    <row r="88" spans="1:15">
      <c r="A88" s="4" t="str">
        <f t="shared" si="89"/>
        <v>20170822</v>
      </c>
      <c r="B88" s="4" t="str">
        <f t="shared" si="90"/>
        <v>20170822</v>
      </c>
      <c r="C88" s="4" t="str">
        <f t="shared" ref="C88:C92" si="92">"证券卖出"</f>
        <v>证券卖出</v>
      </c>
      <c r="D88" s="4" t="str">
        <f t="shared" si="87"/>
        <v>150153</v>
      </c>
      <c r="E88" s="4" t="str">
        <f t="shared" si="88"/>
        <v>创业板B</v>
      </c>
      <c r="F88" s="4">
        <v>0.622</v>
      </c>
      <c r="G88" s="4">
        <v>20000</v>
      </c>
      <c r="H88" s="4">
        <v>12440</v>
      </c>
      <c r="I88" s="4">
        <v>12435</v>
      </c>
      <c r="J88" s="4">
        <v>12446</v>
      </c>
      <c r="K88" s="4">
        <v>20000</v>
      </c>
      <c r="L88" s="4" t="str">
        <f t="shared" si="65"/>
        <v>人民币</v>
      </c>
      <c r="M88" s="4" t="str">
        <f>"T4008898"</f>
        <v>T4008898</v>
      </c>
      <c r="N88" s="4" t="str">
        <f t="shared" si="91"/>
        <v>0149593788</v>
      </c>
      <c r="O88" s="4" t="str">
        <f t="shared" si="67"/>
        <v>300100052893</v>
      </c>
    </row>
    <row r="89" spans="1:15">
      <c r="A89" s="4" t="str">
        <f t="shared" si="89"/>
        <v>20170822</v>
      </c>
      <c r="B89" s="4" t="str">
        <f t="shared" si="90"/>
        <v>20170822</v>
      </c>
      <c r="C89" s="4" t="str">
        <f>"证券买入"</f>
        <v>证券买入</v>
      </c>
      <c r="D89" s="4" t="str">
        <f t="shared" si="87"/>
        <v>150153</v>
      </c>
      <c r="E89" s="4" t="str">
        <f t="shared" si="88"/>
        <v>创业板B</v>
      </c>
      <c r="F89" s="4">
        <v>0.622</v>
      </c>
      <c r="G89" s="4">
        <v>20000</v>
      </c>
      <c r="H89" s="4">
        <v>12440</v>
      </c>
      <c r="I89" s="4">
        <v>-12445</v>
      </c>
      <c r="J89" s="4">
        <v>1</v>
      </c>
      <c r="K89" s="4">
        <v>40000</v>
      </c>
      <c r="L89" s="4" t="str">
        <f t="shared" si="65"/>
        <v>人民币</v>
      </c>
      <c r="M89" s="4" t="str">
        <f>"T4009803"</f>
        <v>T4009803</v>
      </c>
      <c r="N89" s="4" t="str">
        <f t="shared" si="91"/>
        <v>0149593788</v>
      </c>
      <c r="O89" s="4" t="str">
        <f t="shared" si="67"/>
        <v>300100052893</v>
      </c>
    </row>
    <row r="90" spans="1:15">
      <c r="A90" s="4" t="str">
        <f t="shared" ref="A90:A93" si="93">"20170823"</f>
        <v>20170823</v>
      </c>
      <c r="B90" s="4" t="str">
        <f t="shared" ref="B90:B93" si="94">"20170823"</f>
        <v>20170823</v>
      </c>
      <c r="C90" s="4" t="str">
        <f>"基金申购拨出"</f>
        <v>基金申购拨出</v>
      </c>
      <c r="D90" s="4" t="str">
        <f>"AA0007"</f>
        <v>AA0007</v>
      </c>
      <c r="E90" s="4" t="str">
        <f>"银河水星1号集合"</f>
        <v>银河水星1号集合</v>
      </c>
      <c r="F90" s="4">
        <v>0</v>
      </c>
      <c r="G90" s="4">
        <v>0</v>
      </c>
      <c r="H90" s="4">
        <v>0</v>
      </c>
      <c r="I90" s="4">
        <v>-41396.61</v>
      </c>
      <c r="J90" s="4">
        <v>-41395.61</v>
      </c>
      <c r="K90" s="4">
        <v>0</v>
      </c>
      <c r="L90" s="4" t="str">
        <f t="shared" si="65"/>
        <v>人民币</v>
      </c>
      <c r="N90" s="4" t="str">
        <f>"980149593788"</f>
        <v>980149593788</v>
      </c>
      <c r="O90" s="4" t="str">
        <f t="shared" si="67"/>
        <v>300100052893</v>
      </c>
    </row>
    <row r="91" spans="1:15">
      <c r="A91" s="4" t="str">
        <f t="shared" si="93"/>
        <v>20170823</v>
      </c>
      <c r="B91" s="4" t="str">
        <f t="shared" si="94"/>
        <v>20170823</v>
      </c>
      <c r="C91" s="4" t="str">
        <f t="shared" si="92"/>
        <v>证券卖出</v>
      </c>
      <c r="D91" s="4" t="str">
        <f>"150153"</f>
        <v>150153</v>
      </c>
      <c r="E91" s="4" t="str">
        <f>"创业板B"</f>
        <v>创业板B</v>
      </c>
      <c r="F91" s="4">
        <v>0.618</v>
      </c>
      <c r="G91" s="4">
        <v>40000</v>
      </c>
      <c r="H91" s="4">
        <v>24720</v>
      </c>
      <c r="I91" s="4">
        <v>24712.34</v>
      </c>
      <c r="J91" s="4">
        <v>-16683.27</v>
      </c>
      <c r="K91" s="4">
        <v>0</v>
      </c>
      <c r="L91" s="4" t="str">
        <f t="shared" si="65"/>
        <v>人民币</v>
      </c>
      <c r="M91" s="4" t="str">
        <f>"T4000901"</f>
        <v>T4000901</v>
      </c>
      <c r="N91" s="4" t="str">
        <f t="shared" ref="N91:N93" si="95">"0149593788"</f>
        <v>0149593788</v>
      </c>
      <c r="O91" s="4" t="str">
        <f t="shared" si="67"/>
        <v>300100052893</v>
      </c>
    </row>
    <row r="92" spans="1:15">
      <c r="A92" s="4" t="str">
        <f t="shared" si="93"/>
        <v>20170823</v>
      </c>
      <c r="B92" s="4" t="str">
        <f t="shared" si="94"/>
        <v>20170823</v>
      </c>
      <c r="C92" s="4" t="str">
        <f t="shared" si="92"/>
        <v>证券卖出</v>
      </c>
      <c r="D92" s="4" t="str">
        <f>"150182"</f>
        <v>150182</v>
      </c>
      <c r="E92" s="4" t="str">
        <f>"军工B"</f>
        <v>军工B</v>
      </c>
      <c r="F92" s="4">
        <v>0.843</v>
      </c>
      <c r="G92" s="4">
        <v>40000</v>
      </c>
      <c r="H92" s="4">
        <v>33720</v>
      </c>
      <c r="I92" s="4">
        <v>33709.55</v>
      </c>
      <c r="J92" s="4">
        <v>17026.28</v>
      </c>
      <c r="K92" s="4">
        <v>0</v>
      </c>
      <c r="L92" s="4" t="str">
        <f t="shared" si="65"/>
        <v>人民币</v>
      </c>
      <c r="M92" s="4" t="str">
        <f>"T4001006"</f>
        <v>T4001006</v>
      </c>
      <c r="N92" s="4" t="str">
        <f t="shared" si="95"/>
        <v>0149593788</v>
      </c>
      <c r="O92" s="4" t="str">
        <f t="shared" si="67"/>
        <v>300100052893</v>
      </c>
    </row>
    <row r="93" spans="1:15">
      <c r="A93" s="4" t="str">
        <f t="shared" si="93"/>
        <v>20170823</v>
      </c>
      <c r="B93" s="4" t="str">
        <f t="shared" si="94"/>
        <v>20170823</v>
      </c>
      <c r="C93" s="4" t="str">
        <f t="shared" ref="C93:C98" si="96">"证券买入"</f>
        <v>证券买入</v>
      </c>
      <c r="D93" s="4" t="str">
        <f>"150182"</f>
        <v>150182</v>
      </c>
      <c r="E93" s="4" t="str">
        <f>"军工B"</f>
        <v>军工B</v>
      </c>
      <c r="F93" s="4">
        <v>0.851</v>
      </c>
      <c r="G93" s="4">
        <v>20000</v>
      </c>
      <c r="H93" s="4">
        <v>17020</v>
      </c>
      <c r="I93" s="4">
        <v>-17025.28</v>
      </c>
      <c r="J93" s="4">
        <v>1</v>
      </c>
      <c r="K93" s="4">
        <v>20000</v>
      </c>
      <c r="L93" s="4" t="str">
        <f t="shared" si="65"/>
        <v>人民币</v>
      </c>
      <c r="M93" s="4" t="str">
        <f>"T4002213"</f>
        <v>T4002213</v>
      </c>
      <c r="N93" s="4" t="str">
        <f t="shared" si="95"/>
        <v>0149593788</v>
      </c>
      <c r="O93" s="4" t="str">
        <f t="shared" si="67"/>
        <v>300100052893</v>
      </c>
    </row>
    <row r="94" spans="1:15">
      <c r="A94" s="4" t="str">
        <f>"20170824"</f>
        <v>20170824</v>
      </c>
      <c r="B94" s="4" t="str">
        <f>"20170824"</f>
        <v>20170824</v>
      </c>
      <c r="C94" s="4" t="str">
        <f>"基金赎回拨入"</f>
        <v>基金赎回拨入</v>
      </c>
      <c r="D94" s="4" t="str">
        <f>"AA0007"</f>
        <v>AA0007</v>
      </c>
      <c r="E94" s="4" t="str">
        <f>"银河水星1号集合"</f>
        <v>银河水星1号集合</v>
      </c>
      <c r="F94" s="4">
        <v>0</v>
      </c>
      <c r="G94" s="4">
        <v>11375</v>
      </c>
      <c r="H94" s="4">
        <v>0</v>
      </c>
      <c r="I94" s="4">
        <v>11375.23</v>
      </c>
      <c r="J94" s="4">
        <v>11376.23</v>
      </c>
      <c r="K94" s="4">
        <v>0</v>
      </c>
      <c r="L94" s="4" t="str">
        <f t="shared" si="65"/>
        <v>人民币</v>
      </c>
      <c r="N94" s="4" t="str">
        <f>"980149593788"</f>
        <v>980149593788</v>
      </c>
      <c r="O94" s="4" t="str">
        <f t="shared" si="67"/>
        <v>300100052893</v>
      </c>
    </row>
    <row r="95" spans="1:15">
      <c r="A95" s="4" t="str">
        <f>"20170824"</f>
        <v>20170824</v>
      </c>
      <c r="B95" s="4" t="str">
        <f>"20170824"</f>
        <v>20170824</v>
      </c>
      <c r="C95" s="4" t="str">
        <f t="shared" si="96"/>
        <v>证券买入</v>
      </c>
      <c r="D95" s="4" t="str">
        <f t="shared" ref="D95:D101" si="97">"600219"</f>
        <v>600219</v>
      </c>
      <c r="E95" s="4" t="str">
        <f t="shared" ref="E95:E101" si="98">"南山铝业"</f>
        <v>南山铝业</v>
      </c>
      <c r="F95" s="4">
        <v>3.79</v>
      </c>
      <c r="G95" s="4">
        <v>3000</v>
      </c>
      <c r="H95" s="4">
        <v>11370</v>
      </c>
      <c r="I95" s="4">
        <v>-11375.23</v>
      </c>
      <c r="J95" s="4">
        <v>1</v>
      </c>
      <c r="K95" s="4">
        <v>6250</v>
      </c>
      <c r="L95" s="4" t="str">
        <f t="shared" si="65"/>
        <v>人民币</v>
      </c>
      <c r="M95" s="4" t="str">
        <f>"0136000189"</f>
        <v>0136000189</v>
      </c>
      <c r="N95" s="4" t="str">
        <f t="shared" ref="N95:N101" si="99">"A368402599"</f>
        <v>A368402599</v>
      </c>
      <c r="O95" s="4" t="str">
        <f t="shared" si="67"/>
        <v>300100052893</v>
      </c>
    </row>
    <row r="96" spans="1:15">
      <c r="A96" s="4" t="str">
        <f t="shared" ref="A96:A98" si="100">"20170829"</f>
        <v>20170829</v>
      </c>
      <c r="B96" s="4" t="str">
        <f t="shared" ref="B96:B98" si="101">"20170829"</f>
        <v>20170829</v>
      </c>
      <c r="C96" s="4" t="str">
        <f>"基金赎回拨入"</f>
        <v>基金赎回拨入</v>
      </c>
      <c r="D96" s="4" t="str">
        <f>"AA0007"</f>
        <v>AA0007</v>
      </c>
      <c r="E96" s="4" t="str">
        <f>"银河水星1号集合"</f>
        <v>银河水星1号集合</v>
      </c>
      <c r="F96" s="4">
        <v>0</v>
      </c>
      <c r="G96" s="4">
        <v>31804</v>
      </c>
      <c r="H96" s="4">
        <v>0</v>
      </c>
      <c r="I96" s="4">
        <v>31804.54</v>
      </c>
      <c r="J96" s="4">
        <v>31805.54</v>
      </c>
      <c r="K96" s="4">
        <v>0</v>
      </c>
      <c r="L96" s="4" t="str">
        <f t="shared" si="65"/>
        <v>人民币</v>
      </c>
      <c r="N96" s="4" t="str">
        <f>"980149593788"</f>
        <v>980149593788</v>
      </c>
      <c r="O96" s="4" t="str">
        <f t="shared" si="67"/>
        <v>300100052893</v>
      </c>
    </row>
    <row r="97" spans="1:15">
      <c r="A97" s="4" t="str">
        <f t="shared" si="100"/>
        <v>20170829</v>
      </c>
      <c r="B97" s="4" t="str">
        <f t="shared" si="101"/>
        <v>20170829</v>
      </c>
      <c r="C97" s="4" t="str">
        <f t="shared" si="96"/>
        <v>证券买入</v>
      </c>
      <c r="D97" s="4" t="str">
        <f>"150153"</f>
        <v>150153</v>
      </c>
      <c r="E97" s="4" t="str">
        <f>"创业板B"</f>
        <v>创业板B</v>
      </c>
      <c r="F97" s="4">
        <v>0.656</v>
      </c>
      <c r="G97" s="4">
        <v>20000</v>
      </c>
      <c r="H97" s="4">
        <v>13120</v>
      </c>
      <c r="I97" s="4">
        <v>-13125</v>
      </c>
      <c r="J97" s="4">
        <v>18680.54</v>
      </c>
      <c r="K97" s="4">
        <v>20000</v>
      </c>
      <c r="L97" s="4" t="str">
        <f t="shared" si="65"/>
        <v>人民币</v>
      </c>
      <c r="M97" s="4" t="str">
        <f>"T4003002"</f>
        <v>T4003002</v>
      </c>
      <c r="N97" s="4" t="str">
        <f>"0149593788"</f>
        <v>0149593788</v>
      </c>
      <c r="O97" s="4" t="str">
        <f t="shared" si="67"/>
        <v>300100052893</v>
      </c>
    </row>
    <row r="98" spans="1:15">
      <c r="A98" s="4" t="str">
        <f t="shared" si="100"/>
        <v>20170829</v>
      </c>
      <c r="B98" s="4" t="str">
        <f t="shared" si="101"/>
        <v>20170829</v>
      </c>
      <c r="C98" s="4" t="str">
        <f t="shared" si="96"/>
        <v>证券买入</v>
      </c>
      <c r="D98" s="4" t="str">
        <f>"000601"</f>
        <v>000601</v>
      </c>
      <c r="E98" s="4" t="str">
        <f>"韶能股份"</f>
        <v>韶能股份</v>
      </c>
      <c r="F98" s="4">
        <v>7.34</v>
      </c>
      <c r="G98" s="4">
        <v>2500</v>
      </c>
      <c r="H98" s="4">
        <v>18350</v>
      </c>
      <c r="I98" s="4">
        <v>-18355.69</v>
      </c>
      <c r="J98" s="4">
        <v>324.85</v>
      </c>
      <c r="K98" s="4">
        <v>24700</v>
      </c>
      <c r="L98" s="4" t="str">
        <f t="shared" si="65"/>
        <v>人民币</v>
      </c>
      <c r="M98" s="4" t="str">
        <f>"T4008598"</f>
        <v>T4008598</v>
      </c>
      <c r="N98" s="4" t="str">
        <f>"0149593788"</f>
        <v>0149593788</v>
      </c>
      <c r="O98" s="4" t="str">
        <f t="shared" si="67"/>
        <v>300100052893</v>
      </c>
    </row>
    <row r="99" spans="1:15">
      <c r="A99" s="4" t="str">
        <f t="shared" ref="A99:A101" si="102">"20170830"</f>
        <v>20170830</v>
      </c>
      <c r="B99" s="4" t="str">
        <f t="shared" ref="B99:B101" si="103">"0"</f>
        <v>0</v>
      </c>
      <c r="C99" s="4" t="str">
        <f t="shared" ref="C99:C101" si="104">"股息红利差异扣税"</f>
        <v>股息红利差异扣税</v>
      </c>
      <c r="D99" s="4" t="str">
        <f t="shared" si="97"/>
        <v>600219</v>
      </c>
      <c r="E99" s="4" t="str">
        <f t="shared" si="98"/>
        <v>南山铝业</v>
      </c>
      <c r="F99" s="4">
        <v>0</v>
      </c>
      <c r="G99" s="4">
        <v>0</v>
      </c>
      <c r="H99" s="4">
        <v>0</v>
      </c>
      <c r="I99" s="4">
        <v>-25</v>
      </c>
      <c r="J99" s="4">
        <v>299.85</v>
      </c>
      <c r="K99" s="4">
        <v>0</v>
      </c>
      <c r="L99" s="4" t="str">
        <f t="shared" si="65"/>
        <v>人民币</v>
      </c>
      <c r="N99" s="4" t="str">
        <f t="shared" si="99"/>
        <v>A368402599</v>
      </c>
      <c r="O99" s="4" t="str">
        <f t="shared" si="67"/>
        <v>300100052893</v>
      </c>
    </row>
    <row r="100" spans="1:15">
      <c r="A100" s="4" t="str">
        <f t="shared" si="102"/>
        <v>20170830</v>
      </c>
      <c r="B100" s="4" t="str">
        <f t="shared" si="103"/>
        <v>0</v>
      </c>
      <c r="C100" s="4" t="str">
        <f t="shared" si="104"/>
        <v>股息红利差异扣税</v>
      </c>
      <c r="D100" s="4" t="str">
        <f t="shared" si="97"/>
        <v>600219</v>
      </c>
      <c r="E100" s="4" t="str">
        <f t="shared" si="98"/>
        <v>南山铝业</v>
      </c>
      <c r="F100" s="4">
        <v>0</v>
      </c>
      <c r="G100" s="4">
        <v>0</v>
      </c>
      <c r="H100" s="4">
        <v>0</v>
      </c>
      <c r="I100" s="4">
        <v>-1.75</v>
      </c>
      <c r="J100" s="4">
        <v>298.1</v>
      </c>
      <c r="K100" s="4">
        <v>0</v>
      </c>
      <c r="L100" s="4" t="str">
        <f t="shared" si="65"/>
        <v>人民币</v>
      </c>
      <c r="N100" s="4" t="str">
        <f t="shared" si="99"/>
        <v>A368402599</v>
      </c>
      <c r="O100" s="4" t="str">
        <f t="shared" si="67"/>
        <v>300100052893</v>
      </c>
    </row>
    <row r="101" spans="1:15">
      <c r="A101" s="4" t="str">
        <f t="shared" si="102"/>
        <v>20170830</v>
      </c>
      <c r="B101" s="4" t="str">
        <f t="shared" si="103"/>
        <v>0</v>
      </c>
      <c r="C101" s="4" t="str">
        <f t="shared" si="104"/>
        <v>股息红利差异扣税</v>
      </c>
      <c r="D101" s="4" t="str">
        <f t="shared" si="97"/>
        <v>600219</v>
      </c>
      <c r="E101" s="4" t="str">
        <f t="shared" si="98"/>
        <v>南山铝业</v>
      </c>
      <c r="F101" s="4">
        <v>0</v>
      </c>
      <c r="G101" s="4">
        <v>0</v>
      </c>
      <c r="H101" s="4">
        <v>0</v>
      </c>
      <c r="I101" s="4">
        <v>-13.25</v>
      </c>
      <c r="J101" s="4">
        <v>284.85</v>
      </c>
      <c r="K101" s="4">
        <v>0</v>
      </c>
      <c r="L101" s="4" t="str">
        <f t="shared" si="65"/>
        <v>人民币</v>
      </c>
      <c r="N101" s="4" t="str">
        <f t="shared" si="99"/>
        <v>A368402599</v>
      </c>
      <c r="O101" s="4" t="str">
        <f t="shared" si="67"/>
        <v>300100052893</v>
      </c>
    </row>
    <row r="102" spans="1:15">
      <c r="A102" s="4" t="str">
        <f t="shared" ref="A102:A105" si="105">"20170831"</f>
        <v>20170831</v>
      </c>
      <c r="B102" s="4" t="str">
        <f t="shared" ref="B102:B105" si="106">"20170831"</f>
        <v>20170831</v>
      </c>
      <c r="C102" s="4" t="str">
        <f>"基金申购拨出"</f>
        <v>基金申购拨出</v>
      </c>
      <c r="D102" s="4" t="str">
        <f>"AA0007"</f>
        <v>AA0007</v>
      </c>
      <c r="E102" s="4" t="str">
        <f>"银河水星1号集合"</f>
        <v>银河水星1号集合</v>
      </c>
      <c r="F102" s="4">
        <v>0</v>
      </c>
      <c r="G102" s="4">
        <v>0</v>
      </c>
      <c r="H102" s="4">
        <v>0</v>
      </c>
      <c r="I102" s="4">
        <v>-12106.7</v>
      </c>
      <c r="J102" s="4">
        <v>-11821.85</v>
      </c>
      <c r="K102" s="4">
        <v>0</v>
      </c>
      <c r="L102" s="4" t="str">
        <f t="shared" si="65"/>
        <v>人民币</v>
      </c>
      <c r="N102" s="4" t="str">
        <f>"980149593788"</f>
        <v>980149593788</v>
      </c>
      <c r="O102" s="4" t="str">
        <f t="shared" si="67"/>
        <v>300100052893</v>
      </c>
    </row>
    <row r="103" spans="1:15">
      <c r="A103" s="4" t="str">
        <f t="shared" si="105"/>
        <v>20170831</v>
      </c>
      <c r="B103" s="4" t="str">
        <f t="shared" si="106"/>
        <v>20170831</v>
      </c>
      <c r="C103" s="4" t="str">
        <f t="shared" ref="C103:C108" si="107">"证券卖出"</f>
        <v>证券卖出</v>
      </c>
      <c r="D103" s="4" t="str">
        <f t="shared" ref="D103:D107" si="108">"150153"</f>
        <v>150153</v>
      </c>
      <c r="E103" s="4" t="str">
        <f t="shared" ref="E103:E107" si="109">"创业板B"</f>
        <v>创业板B</v>
      </c>
      <c r="F103" s="4">
        <v>0.659</v>
      </c>
      <c r="G103" s="4">
        <v>20000</v>
      </c>
      <c r="H103" s="4">
        <v>13180</v>
      </c>
      <c r="I103" s="4">
        <v>13175</v>
      </c>
      <c r="J103" s="4">
        <v>1353.15</v>
      </c>
      <c r="K103" s="4">
        <v>0</v>
      </c>
      <c r="L103" s="4" t="str">
        <f t="shared" si="65"/>
        <v>人民币</v>
      </c>
      <c r="M103" s="4" t="str">
        <f>"T4004751"</f>
        <v>T4004751</v>
      </c>
      <c r="N103" s="4" t="str">
        <f t="shared" ref="N103:N109" si="110">"0149593788"</f>
        <v>0149593788</v>
      </c>
      <c r="O103" s="4" t="str">
        <f t="shared" si="67"/>
        <v>300100052893</v>
      </c>
    </row>
    <row r="104" spans="1:15">
      <c r="A104" s="4" t="str">
        <f t="shared" si="105"/>
        <v>20170831</v>
      </c>
      <c r="B104" s="4" t="str">
        <f t="shared" si="106"/>
        <v>20170831</v>
      </c>
      <c r="C104" s="4" t="str">
        <f t="shared" si="107"/>
        <v>证券卖出</v>
      </c>
      <c r="D104" s="4" t="str">
        <f>"600219"</f>
        <v>600219</v>
      </c>
      <c r="E104" s="4" t="str">
        <f>"南山铝业"</f>
        <v>南山铝业</v>
      </c>
      <c r="F104" s="4">
        <v>3.97</v>
      </c>
      <c r="G104" s="4">
        <v>3000</v>
      </c>
      <c r="H104" s="4">
        <v>11910</v>
      </c>
      <c r="I104" s="4">
        <v>11892.84</v>
      </c>
      <c r="J104" s="4">
        <v>13245.99</v>
      </c>
      <c r="K104" s="4">
        <v>3250</v>
      </c>
      <c r="L104" s="4" t="str">
        <f t="shared" si="65"/>
        <v>人民币</v>
      </c>
      <c r="M104" s="4" t="str">
        <f>"0136004732"</f>
        <v>0136004732</v>
      </c>
      <c r="N104" s="4" t="str">
        <f>"A368402599"</f>
        <v>A368402599</v>
      </c>
      <c r="O104" s="4" t="str">
        <f t="shared" si="67"/>
        <v>300100052893</v>
      </c>
    </row>
    <row r="105" spans="1:15">
      <c r="A105" s="4" t="str">
        <f t="shared" si="105"/>
        <v>20170831</v>
      </c>
      <c r="B105" s="4" t="str">
        <f t="shared" si="106"/>
        <v>20170831</v>
      </c>
      <c r="C105" s="4" t="str">
        <f>"证券买入"</f>
        <v>证券买入</v>
      </c>
      <c r="D105" s="4" t="str">
        <f t="shared" si="108"/>
        <v>150153</v>
      </c>
      <c r="E105" s="4" t="str">
        <f t="shared" si="109"/>
        <v>创业板B</v>
      </c>
      <c r="F105" s="4">
        <v>0.662</v>
      </c>
      <c r="G105" s="4">
        <v>20000</v>
      </c>
      <c r="H105" s="4">
        <v>13240</v>
      </c>
      <c r="I105" s="4">
        <v>-13245</v>
      </c>
      <c r="J105" s="4">
        <v>0.99</v>
      </c>
      <c r="K105" s="4">
        <v>20000</v>
      </c>
      <c r="L105" s="4" t="str">
        <f t="shared" si="65"/>
        <v>人民币</v>
      </c>
      <c r="M105" s="4" t="str">
        <f>"T4007500"</f>
        <v>T4007500</v>
      </c>
      <c r="N105" s="4" t="str">
        <f t="shared" si="110"/>
        <v>0149593788</v>
      </c>
      <c r="O105" s="4" t="str">
        <f t="shared" si="67"/>
        <v>300100052893</v>
      </c>
    </row>
    <row r="106" spans="1:15">
      <c r="A106" s="4" t="str">
        <f>"20170906"</f>
        <v>20170906</v>
      </c>
      <c r="B106" s="4" t="str">
        <f>"20170906"</f>
        <v>20170906</v>
      </c>
      <c r="C106" s="4" t="str">
        <f>"基金申购拨出"</f>
        <v>基金申购拨出</v>
      </c>
      <c r="D106" s="4" t="str">
        <f>"AA0007"</f>
        <v>AA0007</v>
      </c>
      <c r="E106" s="4" t="str">
        <f>"银河水星1号集合"</f>
        <v>银河水星1号集合</v>
      </c>
      <c r="F106" s="4">
        <v>0</v>
      </c>
      <c r="G106" s="4">
        <v>0</v>
      </c>
      <c r="H106" s="4">
        <v>0</v>
      </c>
      <c r="I106" s="4">
        <v>-13634.99</v>
      </c>
      <c r="J106" s="4">
        <v>-13634</v>
      </c>
      <c r="K106" s="4">
        <v>0</v>
      </c>
      <c r="L106" s="4" t="str">
        <f t="shared" si="65"/>
        <v>人民币</v>
      </c>
      <c r="N106" s="4" t="str">
        <f>"980149593788"</f>
        <v>980149593788</v>
      </c>
      <c r="O106" s="4" t="str">
        <f t="shared" si="67"/>
        <v>300100052893</v>
      </c>
    </row>
    <row r="107" spans="1:15">
      <c r="A107" s="4" t="str">
        <f>"20170906"</f>
        <v>20170906</v>
      </c>
      <c r="B107" s="4" t="str">
        <f>"20170906"</f>
        <v>20170906</v>
      </c>
      <c r="C107" s="4" t="str">
        <f t="shared" si="107"/>
        <v>证券卖出</v>
      </c>
      <c r="D107" s="4" t="str">
        <f t="shared" si="108"/>
        <v>150153</v>
      </c>
      <c r="E107" s="4" t="str">
        <f t="shared" si="109"/>
        <v>创业板B</v>
      </c>
      <c r="F107" s="4">
        <v>0.682</v>
      </c>
      <c r="G107" s="4">
        <v>20000</v>
      </c>
      <c r="H107" s="4">
        <v>13640</v>
      </c>
      <c r="I107" s="4">
        <v>13635</v>
      </c>
      <c r="J107" s="4">
        <v>1</v>
      </c>
      <c r="K107" s="4">
        <v>0</v>
      </c>
      <c r="L107" s="4" t="str">
        <f t="shared" si="65"/>
        <v>人民币</v>
      </c>
      <c r="M107" s="4" t="str">
        <f>"T4010905"</f>
        <v>T4010905</v>
      </c>
      <c r="N107" s="4" t="str">
        <f t="shared" si="110"/>
        <v>0149593788</v>
      </c>
      <c r="O107" s="4" t="str">
        <f t="shared" si="67"/>
        <v>300100052893</v>
      </c>
    </row>
    <row r="108" spans="1:15">
      <c r="A108" s="4" t="str">
        <f>"20170907"</f>
        <v>20170907</v>
      </c>
      <c r="B108" s="4" t="str">
        <f>"20170907"</f>
        <v>20170907</v>
      </c>
      <c r="C108" s="4" t="str">
        <f t="shared" si="107"/>
        <v>证券卖出</v>
      </c>
      <c r="D108" s="4" t="str">
        <f>"150182"</f>
        <v>150182</v>
      </c>
      <c r="E108" s="4" t="str">
        <f>"军工B"</f>
        <v>军工B</v>
      </c>
      <c r="F108" s="4">
        <v>0.887</v>
      </c>
      <c r="G108" s="4">
        <v>20000</v>
      </c>
      <c r="H108" s="4">
        <v>17740</v>
      </c>
      <c r="I108" s="4">
        <v>17734.5</v>
      </c>
      <c r="J108" s="4">
        <v>17735.5</v>
      </c>
      <c r="K108" s="4">
        <v>0</v>
      </c>
      <c r="L108" s="4" t="str">
        <f t="shared" si="65"/>
        <v>人民币</v>
      </c>
      <c r="M108" s="4" t="str">
        <f>"T4009012"</f>
        <v>T4009012</v>
      </c>
      <c r="N108" s="4" t="str">
        <f t="shared" si="110"/>
        <v>0149593788</v>
      </c>
      <c r="O108" s="4" t="str">
        <f t="shared" si="67"/>
        <v>300100052893</v>
      </c>
    </row>
    <row r="109" spans="1:15">
      <c r="A109" s="4" t="str">
        <f>"20170907"</f>
        <v>20170907</v>
      </c>
      <c r="B109" s="4" t="str">
        <f>"20170907"</f>
        <v>20170907</v>
      </c>
      <c r="C109" s="4" t="str">
        <f>"证券买入"</f>
        <v>证券买入</v>
      </c>
      <c r="D109" s="4" t="str">
        <f>"150182"</f>
        <v>150182</v>
      </c>
      <c r="E109" s="4" t="str">
        <f>"军工B"</f>
        <v>军工B</v>
      </c>
      <c r="F109" s="4">
        <v>0.879</v>
      </c>
      <c r="G109" s="4">
        <v>20000</v>
      </c>
      <c r="H109" s="4">
        <v>17580</v>
      </c>
      <c r="I109" s="4">
        <v>-17585.45</v>
      </c>
      <c r="J109" s="4">
        <v>150.05</v>
      </c>
      <c r="K109" s="4">
        <v>20000</v>
      </c>
      <c r="L109" s="4" t="str">
        <f t="shared" si="65"/>
        <v>人民币</v>
      </c>
      <c r="M109" s="4" t="str">
        <f>"T4013945"</f>
        <v>T4013945</v>
      </c>
      <c r="N109" s="4" t="str">
        <f t="shared" si="110"/>
        <v>0149593788</v>
      </c>
      <c r="O109" s="4" t="str">
        <f t="shared" si="67"/>
        <v>300100052893</v>
      </c>
    </row>
    <row r="110" spans="1:15">
      <c r="A110" s="4" t="str">
        <f>"20170908"</f>
        <v>20170908</v>
      </c>
      <c r="B110" s="4" t="str">
        <f>"0"</f>
        <v>0</v>
      </c>
      <c r="C110" s="4" t="str">
        <f>"股息红利差异扣税"</f>
        <v>股息红利差异扣税</v>
      </c>
      <c r="D110" s="4" t="str">
        <f>"600219"</f>
        <v>600219</v>
      </c>
      <c r="E110" s="4" t="str">
        <f>"南山铝业"</f>
        <v>南山铝业</v>
      </c>
      <c r="F110" s="4">
        <v>0</v>
      </c>
      <c r="G110" s="4">
        <v>0</v>
      </c>
      <c r="H110" s="4">
        <v>0</v>
      </c>
      <c r="I110" s="4">
        <v>-1.25</v>
      </c>
      <c r="J110" s="4">
        <v>148.8</v>
      </c>
      <c r="K110" s="4">
        <v>0</v>
      </c>
      <c r="L110" s="4" t="str">
        <f t="shared" si="65"/>
        <v>人民币</v>
      </c>
      <c r="N110" s="4" t="str">
        <f>"A368402599"</f>
        <v>A368402599</v>
      </c>
      <c r="O110" s="4" t="str">
        <f t="shared" si="67"/>
        <v>300100052893</v>
      </c>
    </row>
    <row r="111" spans="1:15">
      <c r="A111" s="4" t="str">
        <f>"20170908"</f>
        <v>20170908</v>
      </c>
      <c r="B111" s="4" t="str">
        <f>"0"</f>
        <v>0</v>
      </c>
      <c r="C111" s="4" t="str">
        <f>"股息红利差异扣税"</f>
        <v>股息红利差异扣税</v>
      </c>
      <c r="D111" s="4" t="str">
        <f>"600219"</f>
        <v>600219</v>
      </c>
      <c r="E111" s="4" t="str">
        <f>"南山铝业"</f>
        <v>南山铝业</v>
      </c>
      <c r="F111" s="4">
        <v>0</v>
      </c>
      <c r="G111" s="4">
        <v>0</v>
      </c>
      <c r="H111" s="4">
        <v>0</v>
      </c>
      <c r="I111" s="4">
        <v>-13.75</v>
      </c>
      <c r="J111" s="4">
        <v>135.05</v>
      </c>
      <c r="K111" s="4">
        <v>0</v>
      </c>
      <c r="L111" s="4" t="str">
        <f t="shared" si="65"/>
        <v>人民币</v>
      </c>
      <c r="N111" s="4" t="str">
        <f>"A368402599"</f>
        <v>A368402599</v>
      </c>
      <c r="O111" s="4" t="str">
        <f t="shared" si="67"/>
        <v>300100052893</v>
      </c>
    </row>
    <row r="112" spans="1:15">
      <c r="A112" s="4" t="str">
        <f>"20170911"</f>
        <v>20170911</v>
      </c>
      <c r="B112" s="4" t="str">
        <f>"20170911"</f>
        <v>20170911</v>
      </c>
      <c r="C112" s="4" t="str">
        <f>"基金赎回拨入"</f>
        <v>基金赎回拨入</v>
      </c>
      <c r="D112" s="4" t="str">
        <f t="shared" ref="D112:D116" si="111">"AA0007"</f>
        <v>AA0007</v>
      </c>
      <c r="E112" s="4" t="str">
        <f t="shared" ref="E112:E116" si="112">"银河水星1号集合"</f>
        <v>银河水星1号集合</v>
      </c>
      <c r="F112" s="4">
        <v>0</v>
      </c>
      <c r="G112" s="4">
        <v>13330</v>
      </c>
      <c r="H112" s="4">
        <v>0</v>
      </c>
      <c r="I112" s="4">
        <v>13330.95</v>
      </c>
      <c r="J112" s="4">
        <v>13466</v>
      </c>
      <c r="K112" s="4">
        <v>0</v>
      </c>
      <c r="L112" s="4" t="str">
        <f t="shared" si="65"/>
        <v>人民币</v>
      </c>
      <c r="N112" s="4" t="str">
        <f t="shared" ref="N112:N116" si="113">"980149593788"</f>
        <v>980149593788</v>
      </c>
      <c r="O112" s="4" t="str">
        <f t="shared" si="67"/>
        <v>300100052893</v>
      </c>
    </row>
    <row r="113" spans="1:15">
      <c r="A113" s="4" t="str">
        <f>"20170911"</f>
        <v>20170911</v>
      </c>
      <c r="B113" s="4" t="str">
        <f>"20170911"</f>
        <v>20170911</v>
      </c>
      <c r="C113" s="4" t="str">
        <f>"证券买入"</f>
        <v>证券买入</v>
      </c>
      <c r="D113" s="4" t="str">
        <f>"150153"</f>
        <v>150153</v>
      </c>
      <c r="E113" s="4" t="str">
        <f>"创业板B"</f>
        <v>创业板B</v>
      </c>
      <c r="F113" s="4">
        <v>0.673</v>
      </c>
      <c r="G113" s="4">
        <v>20000</v>
      </c>
      <c r="H113" s="4">
        <v>13460</v>
      </c>
      <c r="I113" s="4">
        <v>-13465</v>
      </c>
      <c r="J113" s="4">
        <v>1</v>
      </c>
      <c r="K113" s="4">
        <v>20000</v>
      </c>
      <c r="L113" s="4" t="str">
        <f t="shared" si="65"/>
        <v>人民币</v>
      </c>
      <c r="M113" s="4" t="str">
        <f>"T4003039"</f>
        <v>T4003039</v>
      </c>
      <c r="N113" s="4" t="str">
        <f t="shared" ref="N113:N117" si="114">"0149593788"</f>
        <v>0149593788</v>
      </c>
      <c r="O113" s="4" t="str">
        <f t="shared" si="67"/>
        <v>300100052893</v>
      </c>
    </row>
    <row r="114" spans="1:15">
      <c r="A114" s="4" t="str">
        <f>"20170912"</f>
        <v>20170912</v>
      </c>
      <c r="B114" s="4" t="str">
        <f>"20170912"</f>
        <v>20170912</v>
      </c>
      <c r="C114" s="4" t="str">
        <f>"基金申购拨出"</f>
        <v>基金申购拨出</v>
      </c>
      <c r="D114" s="4" t="str">
        <f t="shared" si="111"/>
        <v>AA0007</v>
      </c>
      <c r="E114" s="4" t="str">
        <f t="shared" si="112"/>
        <v>银河水星1号集合</v>
      </c>
      <c r="F114" s="4">
        <v>0</v>
      </c>
      <c r="G114" s="4">
        <v>0</v>
      </c>
      <c r="H114" s="4">
        <v>0</v>
      </c>
      <c r="I114" s="4">
        <v>-13615</v>
      </c>
      <c r="J114" s="4">
        <v>-13614</v>
      </c>
      <c r="K114" s="4">
        <v>0</v>
      </c>
      <c r="L114" s="4" t="str">
        <f t="shared" si="65"/>
        <v>人民币</v>
      </c>
      <c r="N114" s="4" t="str">
        <f t="shared" si="113"/>
        <v>980149593788</v>
      </c>
      <c r="O114" s="4" t="str">
        <f t="shared" si="67"/>
        <v>300100052893</v>
      </c>
    </row>
    <row r="115" spans="1:15">
      <c r="A115" s="4" t="str">
        <f>"20170912"</f>
        <v>20170912</v>
      </c>
      <c r="B115" s="4" t="str">
        <f>"20170912"</f>
        <v>20170912</v>
      </c>
      <c r="C115" s="4" t="str">
        <f t="shared" ref="C115:C120" si="115">"证券卖出"</f>
        <v>证券卖出</v>
      </c>
      <c r="D115" s="4" t="str">
        <f>"150153"</f>
        <v>150153</v>
      </c>
      <c r="E115" s="4" t="str">
        <f>"创业板B"</f>
        <v>创业板B</v>
      </c>
      <c r="F115" s="4">
        <v>0.681</v>
      </c>
      <c r="G115" s="4">
        <v>20000</v>
      </c>
      <c r="H115" s="4">
        <v>13620</v>
      </c>
      <c r="I115" s="4">
        <v>13615</v>
      </c>
      <c r="J115" s="4">
        <v>1</v>
      </c>
      <c r="K115" s="4">
        <v>0</v>
      </c>
      <c r="L115" s="4" t="str">
        <f t="shared" si="65"/>
        <v>人民币</v>
      </c>
      <c r="M115" s="4" t="str">
        <f>"T4005717"</f>
        <v>T4005717</v>
      </c>
      <c r="N115" s="4" t="str">
        <f t="shared" si="114"/>
        <v>0149593788</v>
      </c>
      <c r="O115" s="4" t="str">
        <f t="shared" si="67"/>
        <v>300100052893</v>
      </c>
    </row>
    <row r="116" spans="1:15">
      <c r="A116" s="4" t="str">
        <f>"20170913"</f>
        <v>20170913</v>
      </c>
      <c r="B116" s="4" t="str">
        <f>"20170913"</f>
        <v>20170913</v>
      </c>
      <c r="C116" s="4" t="str">
        <f>"基金申购拨出"</f>
        <v>基金申购拨出</v>
      </c>
      <c r="D116" s="4" t="str">
        <f t="shared" si="111"/>
        <v>AA0007</v>
      </c>
      <c r="E116" s="4" t="str">
        <f t="shared" si="112"/>
        <v>银河水星1号集合</v>
      </c>
      <c r="F116" s="4">
        <v>0</v>
      </c>
      <c r="G116" s="4">
        <v>0</v>
      </c>
      <c r="H116" s="4">
        <v>0</v>
      </c>
      <c r="I116" s="4">
        <v>-19374.59</v>
      </c>
      <c r="J116" s="4">
        <v>-19373.59</v>
      </c>
      <c r="K116" s="4">
        <v>0</v>
      </c>
      <c r="L116" s="4" t="str">
        <f t="shared" si="65"/>
        <v>人民币</v>
      </c>
      <c r="N116" s="4" t="str">
        <f t="shared" si="113"/>
        <v>980149593788</v>
      </c>
      <c r="O116" s="4" t="str">
        <f t="shared" si="67"/>
        <v>300100052893</v>
      </c>
    </row>
    <row r="117" spans="1:15">
      <c r="A117" s="4" t="str">
        <f>"20170913"</f>
        <v>20170913</v>
      </c>
      <c r="B117" s="4" t="str">
        <f>"20170913"</f>
        <v>20170913</v>
      </c>
      <c r="C117" s="4" t="str">
        <f t="shared" si="115"/>
        <v>证券卖出</v>
      </c>
      <c r="D117" s="4" t="str">
        <f>"000601"</f>
        <v>000601</v>
      </c>
      <c r="E117" s="4" t="str">
        <f>"韶能股份"</f>
        <v>韶能股份</v>
      </c>
      <c r="F117" s="4">
        <v>7.76</v>
      </c>
      <c r="G117" s="4">
        <v>2500</v>
      </c>
      <c r="H117" s="4">
        <v>19400</v>
      </c>
      <c r="I117" s="4">
        <v>19374.59</v>
      </c>
      <c r="J117" s="4">
        <v>1</v>
      </c>
      <c r="K117" s="4">
        <v>22200</v>
      </c>
      <c r="L117" s="4" t="str">
        <f t="shared" si="65"/>
        <v>人民币</v>
      </c>
      <c r="M117" s="4" t="str">
        <f>"T4007487"</f>
        <v>T4007487</v>
      </c>
      <c r="N117" s="4" t="str">
        <f t="shared" si="114"/>
        <v>0149593788</v>
      </c>
      <c r="O117" s="4" t="str">
        <f t="shared" si="67"/>
        <v>300100052893</v>
      </c>
    </row>
    <row r="118" spans="1:15">
      <c r="A118" s="4" t="str">
        <f>"20170918"</f>
        <v>20170918</v>
      </c>
      <c r="B118" s="4" t="str">
        <f>"20170918"</f>
        <v>20170918</v>
      </c>
      <c r="C118" s="4" t="str">
        <f>"基金赎回拨入"</f>
        <v>基金赎回拨入</v>
      </c>
      <c r="D118" s="4" t="str">
        <f>"AA0007"</f>
        <v>AA0007</v>
      </c>
      <c r="E118" s="4" t="str">
        <f>"银河水星1号集合"</f>
        <v>银河水星1号集合</v>
      </c>
      <c r="F118" s="4">
        <v>0</v>
      </c>
      <c r="G118" s="4">
        <v>17685</v>
      </c>
      <c r="H118" s="4">
        <v>0</v>
      </c>
      <c r="I118" s="4">
        <v>17685.48</v>
      </c>
      <c r="J118" s="4">
        <v>17686.48</v>
      </c>
      <c r="K118" s="4">
        <v>0</v>
      </c>
      <c r="L118" s="4" t="str">
        <f t="shared" si="65"/>
        <v>人民币</v>
      </c>
      <c r="N118" s="4" t="str">
        <f>"980149593788"</f>
        <v>980149593788</v>
      </c>
      <c r="O118" s="4" t="str">
        <f t="shared" si="67"/>
        <v>300100052893</v>
      </c>
    </row>
    <row r="119" spans="1:15">
      <c r="A119" s="4" t="str">
        <f>"20170918"</f>
        <v>20170918</v>
      </c>
      <c r="B119" s="4" t="str">
        <f>"20170918"</f>
        <v>20170918</v>
      </c>
      <c r="C119" s="4" t="str">
        <f>"证券买入"</f>
        <v>证券买入</v>
      </c>
      <c r="D119" s="4" t="str">
        <f t="shared" ref="D119:D121" si="116">"150182"</f>
        <v>150182</v>
      </c>
      <c r="E119" s="4" t="str">
        <f t="shared" ref="E119:E121" si="117">"军工B"</f>
        <v>军工B</v>
      </c>
      <c r="F119" s="4">
        <v>0.884</v>
      </c>
      <c r="G119" s="4">
        <v>20000</v>
      </c>
      <c r="H119" s="4">
        <v>17680</v>
      </c>
      <c r="I119" s="4">
        <v>-17685.48</v>
      </c>
      <c r="J119" s="4">
        <v>1</v>
      </c>
      <c r="K119" s="4">
        <v>40000</v>
      </c>
      <c r="L119" s="4" t="str">
        <f t="shared" si="65"/>
        <v>人民币</v>
      </c>
      <c r="M119" s="4" t="str">
        <f>"T4005033"</f>
        <v>T4005033</v>
      </c>
      <c r="N119" s="4" t="str">
        <f t="shared" ref="N119:N122" si="118">"0149593788"</f>
        <v>0149593788</v>
      </c>
      <c r="O119" s="4" t="str">
        <f t="shared" si="67"/>
        <v>300100052893</v>
      </c>
    </row>
    <row r="120" spans="1:15">
      <c r="A120" s="4" t="str">
        <f>"20170919"</f>
        <v>20170919</v>
      </c>
      <c r="B120" s="4" t="str">
        <f>"20170919"</f>
        <v>20170919</v>
      </c>
      <c r="C120" s="4" t="str">
        <f t="shared" si="115"/>
        <v>证券卖出</v>
      </c>
      <c r="D120" s="4" t="str">
        <f t="shared" si="116"/>
        <v>150182</v>
      </c>
      <c r="E120" s="4" t="str">
        <f t="shared" si="117"/>
        <v>军工B</v>
      </c>
      <c r="F120" s="4">
        <v>0.887</v>
      </c>
      <c r="G120" s="4">
        <v>20000</v>
      </c>
      <c r="H120" s="4">
        <v>17740</v>
      </c>
      <c r="I120" s="4">
        <v>17734.5</v>
      </c>
      <c r="J120" s="4">
        <v>17735.5</v>
      </c>
      <c r="K120" s="4">
        <v>20000</v>
      </c>
      <c r="L120" s="4" t="str">
        <f t="shared" si="65"/>
        <v>人民币</v>
      </c>
      <c r="M120" s="4" t="str">
        <f>"T4002268"</f>
        <v>T4002268</v>
      </c>
      <c r="N120" s="4" t="str">
        <f t="shared" si="118"/>
        <v>0149593788</v>
      </c>
      <c r="O120" s="4" t="str">
        <f t="shared" si="67"/>
        <v>300100052893</v>
      </c>
    </row>
    <row r="121" spans="1:15">
      <c r="A121" s="4" t="str">
        <f>"20170919"</f>
        <v>20170919</v>
      </c>
      <c r="B121" s="4" t="str">
        <f>"20170919"</f>
        <v>20170919</v>
      </c>
      <c r="C121" s="4" t="str">
        <f>"证券买入"</f>
        <v>证券买入</v>
      </c>
      <c r="D121" s="4" t="str">
        <f t="shared" si="116"/>
        <v>150182</v>
      </c>
      <c r="E121" s="4" t="str">
        <f t="shared" si="117"/>
        <v>军工B</v>
      </c>
      <c r="F121" s="4">
        <v>0.883</v>
      </c>
      <c r="G121" s="4">
        <v>20000</v>
      </c>
      <c r="H121" s="4">
        <v>17660</v>
      </c>
      <c r="I121" s="4">
        <v>-17665.47</v>
      </c>
      <c r="J121" s="4">
        <v>70.03</v>
      </c>
      <c r="K121" s="4">
        <v>40000</v>
      </c>
      <c r="L121" s="4" t="str">
        <f t="shared" si="65"/>
        <v>人民币</v>
      </c>
      <c r="M121" s="4" t="str">
        <f>"T4006136"</f>
        <v>T4006136</v>
      </c>
      <c r="N121" s="4" t="str">
        <f t="shared" si="118"/>
        <v>0149593788</v>
      </c>
      <c r="O121" s="4" t="str">
        <f t="shared" si="67"/>
        <v>300100052893</v>
      </c>
    </row>
    <row r="122" spans="1:15">
      <c r="A122" s="4" t="str">
        <f t="shared" ref="A122:A126" si="119">"20170920"</f>
        <v>20170920</v>
      </c>
      <c r="B122" s="4" t="str">
        <f>"0"</f>
        <v>0</v>
      </c>
      <c r="C122" s="4" t="str">
        <f>"股息红利差异扣税"</f>
        <v>股息红利差异扣税</v>
      </c>
      <c r="D122" s="4" t="str">
        <f>"000601"</f>
        <v>000601</v>
      </c>
      <c r="E122" s="4" t="str">
        <f>"韶能股份"</f>
        <v>韶能股份</v>
      </c>
      <c r="F122" s="4">
        <v>0</v>
      </c>
      <c r="G122" s="4">
        <v>0</v>
      </c>
      <c r="H122" s="4">
        <v>0</v>
      </c>
      <c r="I122" s="4">
        <v>-50</v>
      </c>
      <c r="J122" s="4">
        <v>20.03</v>
      </c>
      <c r="K122" s="4">
        <v>0</v>
      </c>
      <c r="L122" s="4" t="str">
        <f t="shared" si="65"/>
        <v>人民币</v>
      </c>
      <c r="N122" s="4" t="str">
        <f t="shared" si="118"/>
        <v>0149593788</v>
      </c>
      <c r="O122" s="4" t="str">
        <f t="shared" si="67"/>
        <v>300100052893</v>
      </c>
    </row>
    <row r="123" spans="1:15">
      <c r="A123" s="4" t="str">
        <f t="shared" si="119"/>
        <v>20170920</v>
      </c>
      <c r="B123" s="4" t="str">
        <f t="shared" ref="B123:B126" si="120">"20170920"</f>
        <v>20170920</v>
      </c>
      <c r="C123" s="4" t="str">
        <f>"利息归本"</f>
        <v>利息归本</v>
      </c>
      <c r="F123" s="4">
        <v>0</v>
      </c>
      <c r="G123" s="4">
        <v>0</v>
      </c>
      <c r="H123" s="4">
        <v>0</v>
      </c>
      <c r="I123" s="4">
        <v>2.8</v>
      </c>
      <c r="J123" s="4">
        <v>22.83</v>
      </c>
      <c r="K123" s="4">
        <v>0</v>
      </c>
      <c r="L123" s="4" t="str">
        <f t="shared" si="65"/>
        <v>人民币</v>
      </c>
      <c r="O123" s="4" t="str">
        <f t="shared" si="67"/>
        <v>300100052893</v>
      </c>
    </row>
    <row r="124" spans="1:15">
      <c r="A124" s="4" t="str">
        <f t="shared" si="119"/>
        <v>20170920</v>
      </c>
      <c r="B124" s="4" t="str">
        <f t="shared" si="120"/>
        <v>20170920</v>
      </c>
      <c r="C124" s="4" t="str">
        <f>"基金申购拨出"</f>
        <v>基金申购拨出</v>
      </c>
      <c r="D124" s="4" t="str">
        <f t="shared" ref="D124:D128" si="121">"AA0007"</f>
        <v>AA0007</v>
      </c>
      <c r="E124" s="4" t="str">
        <f t="shared" ref="E124:E128" si="122">"银河水星1号集合"</f>
        <v>银河水星1号集合</v>
      </c>
      <c r="F124" s="4">
        <v>0</v>
      </c>
      <c r="G124" s="4">
        <v>0</v>
      </c>
      <c r="H124" s="4">
        <v>0</v>
      </c>
      <c r="I124" s="4">
        <v>-22202.99</v>
      </c>
      <c r="J124" s="4">
        <v>-22180.16</v>
      </c>
      <c r="K124" s="4">
        <v>0</v>
      </c>
      <c r="L124" s="4" t="str">
        <f t="shared" si="65"/>
        <v>人民币</v>
      </c>
      <c r="N124" s="4" t="str">
        <f t="shared" ref="N124:N128" si="123">"980149593788"</f>
        <v>980149593788</v>
      </c>
      <c r="O124" s="4" t="str">
        <f t="shared" si="67"/>
        <v>300100052893</v>
      </c>
    </row>
    <row r="125" spans="1:15">
      <c r="A125" s="4" t="str">
        <f t="shared" si="119"/>
        <v>20170920</v>
      </c>
      <c r="B125" s="4" t="str">
        <f t="shared" si="120"/>
        <v>20170920</v>
      </c>
      <c r="C125" s="4" t="str">
        <f>"证券卖出"</f>
        <v>证券卖出</v>
      </c>
      <c r="D125" s="4" t="str">
        <f>"150182"</f>
        <v>150182</v>
      </c>
      <c r="E125" s="4" t="str">
        <f>"军工B"</f>
        <v>军工B</v>
      </c>
      <c r="F125" s="4">
        <v>0.89</v>
      </c>
      <c r="G125" s="4">
        <v>40000</v>
      </c>
      <c r="H125" s="4">
        <v>35600</v>
      </c>
      <c r="I125" s="4">
        <v>35588.96</v>
      </c>
      <c r="J125" s="4">
        <v>13408.8</v>
      </c>
      <c r="K125" s="4">
        <v>0</v>
      </c>
      <c r="L125" s="4" t="str">
        <f t="shared" si="65"/>
        <v>人民币</v>
      </c>
      <c r="M125" s="4" t="str">
        <f>"T4005458"</f>
        <v>T4005458</v>
      </c>
      <c r="N125" s="4" t="str">
        <f t="shared" ref="N125:N129" si="124">"0149593788"</f>
        <v>0149593788</v>
      </c>
      <c r="O125" s="4" t="str">
        <f t="shared" si="67"/>
        <v>300100052893</v>
      </c>
    </row>
    <row r="126" spans="1:15">
      <c r="A126" s="4" t="str">
        <f t="shared" si="119"/>
        <v>20170920</v>
      </c>
      <c r="B126" s="4" t="str">
        <f t="shared" si="120"/>
        <v>20170920</v>
      </c>
      <c r="C126" s="4" t="str">
        <f>"证券买入"</f>
        <v>证券买入</v>
      </c>
      <c r="D126" s="4" t="str">
        <f>"150153"</f>
        <v>150153</v>
      </c>
      <c r="E126" s="4" t="str">
        <f>"创业板B"</f>
        <v>创业板B</v>
      </c>
      <c r="F126" s="4">
        <v>0.67</v>
      </c>
      <c r="G126" s="4">
        <v>20000</v>
      </c>
      <c r="H126" s="4">
        <v>13400</v>
      </c>
      <c r="I126" s="4">
        <v>-13405</v>
      </c>
      <c r="J126" s="4">
        <v>3.8</v>
      </c>
      <c r="K126" s="4">
        <v>20000</v>
      </c>
      <c r="L126" s="4" t="str">
        <f t="shared" si="65"/>
        <v>人民币</v>
      </c>
      <c r="M126" s="4" t="str">
        <f>"T4007511"</f>
        <v>T4007511</v>
      </c>
      <c r="N126" s="4" t="str">
        <f t="shared" si="124"/>
        <v>0149593788</v>
      </c>
      <c r="O126" s="4" t="str">
        <f t="shared" si="67"/>
        <v>300100052893</v>
      </c>
    </row>
    <row r="127" spans="1:15">
      <c r="A127" s="4" t="str">
        <f t="shared" ref="A127:A129" si="125">"20170921"</f>
        <v>20170921</v>
      </c>
      <c r="B127" s="4" t="str">
        <f>"0"</f>
        <v>0</v>
      </c>
      <c r="C127" s="4" t="str">
        <f>"基金红利拨入"</f>
        <v>基金红利拨入</v>
      </c>
      <c r="D127" s="4" t="str">
        <f t="shared" si="121"/>
        <v>AA0007</v>
      </c>
      <c r="E127" s="4" t="str">
        <f t="shared" si="122"/>
        <v>银河水星1号集合</v>
      </c>
      <c r="F127" s="4">
        <v>0</v>
      </c>
      <c r="G127" s="4">
        <v>0</v>
      </c>
      <c r="H127" s="4">
        <v>101.43</v>
      </c>
      <c r="I127" s="4">
        <v>101.43</v>
      </c>
      <c r="J127" s="4">
        <v>105.23</v>
      </c>
      <c r="K127" s="4">
        <v>0</v>
      </c>
      <c r="L127" s="4" t="str">
        <f t="shared" si="65"/>
        <v>人民币</v>
      </c>
      <c r="N127" s="4" t="str">
        <f t="shared" si="123"/>
        <v>980149593788</v>
      </c>
      <c r="O127" s="4" t="str">
        <f t="shared" si="67"/>
        <v>300100052893</v>
      </c>
    </row>
    <row r="128" spans="1:15">
      <c r="A128" s="4" t="str">
        <f t="shared" si="125"/>
        <v>20170921</v>
      </c>
      <c r="B128" s="4" t="str">
        <f>"20170921"</f>
        <v>20170921</v>
      </c>
      <c r="C128" s="4" t="str">
        <f>"基金申购拨出"</f>
        <v>基金申购拨出</v>
      </c>
      <c r="D128" s="4" t="str">
        <f t="shared" si="121"/>
        <v>AA0007</v>
      </c>
      <c r="E128" s="4" t="str">
        <f t="shared" si="122"/>
        <v>银河水星1号集合</v>
      </c>
      <c r="F128" s="4">
        <v>0</v>
      </c>
      <c r="G128" s="4">
        <v>0</v>
      </c>
      <c r="H128" s="4">
        <v>0</v>
      </c>
      <c r="I128" s="4">
        <v>-13557.8</v>
      </c>
      <c r="J128" s="4">
        <v>-13452.57</v>
      </c>
      <c r="K128" s="4">
        <v>0</v>
      </c>
      <c r="L128" s="4" t="str">
        <f t="shared" si="65"/>
        <v>人民币</v>
      </c>
      <c r="N128" s="4" t="str">
        <f t="shared" si="123"/>
        <v>980149593788</v>
      </c>
      <c r="O128" s="4" t="str">
        <f t="shared" si="67"/>
        <v>300100052893</v>
      </c>
    </row>
    <row r="129" spans="1:15">
      <c r="A129" s="4" t="str">
        <f t="shared" si="125"/>
        <v>20170921</v>
      </c>
      <c r="B129" s="4" t="str">
        <f>"20170921"</f>
        <v>20170921</v>
      </c>
      <c r="C129" s="4" t="str">
        <f>"证券卖出"</f>
        <v>证券卖出</v>
      </c>
      <c r="D129" s="4" t="str">
        <f>"150153"</f>
        <v>150153</v>
      </c>
      <c r="E129" s="4" t="str">
        <f>"创业板B"</f>
        <v>创业板B</v>
      </c>
      <c r="F129" s="4">
        <v>0.678</v>
      </c>
      <c r="G129" s="4">
        <v>20000</v>
      </c>
      <c r="H129" s="4">
        <v>13560</v>
      </c>
      <c r="I129" s="4">
        <v>13555</v>
      </c>
      <c r="J129" s="4">
        <v>102.43</v>
      </c>
      <c r="K129" s="4">
        <v>0</v>
      </c>
      <c r="L129" s="4" t="str">
        <f t="shared" si="65"/>
        <v>人民币</v>
      </c>
      <c r="M129" s="4" t="str">
        <f>"T4003399"</f>
        <v>T4003399</v>
      </c>
      <c r="N129" s="4" t="str">
        <f t="shared" si="124"/>
        <v>0149593788</v>
      </c>
      <c r="O129" s="4" t="str">
        <f t="shared" si="67"/>
        <v>300100052893</v>
      </c>
    </row>
    <row r="130" spans="1:15">
      <c r="A130" s="4" t="str">
        <f>"20170922"</f>
        <v>20170922</v>
      </c>
      <c r="B130" s="4" t="str">
        <f>"20170922"</f>
        <v>20170922</v>
      </c>
      <c r="C130" s="4" t="str">
        <f>"基金赎回拨入"</f>
        <v>基金赎回拨入</v>
      </c>
      <c r="D130" s="4" t="str">
        <f t="shared" ref="D130:D134" si="126">"AA0007"</f>
        <v>AA0007</v>
      </c>
      <c r="E130" s="4" t="str">
        <f t="shared" ref="E130:E134" si="127">"银河水星1号集合"</f>
        <v>银河水星1号集合</v>
      </c>
      <c r="F130" s="4">
        <v>0</v>
      </c>
      <c r="G130" s="4">
        <v>18654</v>
      </c>
      <c r="H130" s="4">
        <v>0</v>
      </c>
      <c r="I130" s="4">
        <v>18654.38</v>
      </c>
      <c r="J130" s="4">
        <v>18756.81</v>
      </c>
      <c r="K130" s="4">
        <v>0</v>
      </c>
      <c r="L130" s="4" t="str">
        <f t="shared" ref="L130:L142" si="128">"人民币"</f>
        <v>人民币</v>
      </c>
      <c r="N130" s="4" t="str">
        <f t="shared" ref="N130:N134" si="129">"980149593788"</f>
        <v>980149593788</v>
      </c>
      <c r="O130" s="4" t="str">
        <f t="shared" ref="O130:O142" si="130">"300100052893"</f>
        <v>300100052893</v>
      </c>
    </row>
    <row r="131" spans="1:15">
      <c r="A131" s="4" t="str">
        <f>"20170922"</f>
        <v>20170922</v>
      </c>
      <c r="B131" s="4" t="str">
        <f>"20170922"</f>
        <v>20170922</v>
      </c>
      <c r="C131" s="4" t="str">
        <f>"证券买入"</f>
        <v>证券买入</v>
      </c>
      <c r="D131" s="4" t="str">
        <f>"000601"</f>
        <v>000601</v>
      </c>
      <c r="E131" s="4" t="str">
        <f>"韶能股份"</f>
        <v>韶能股份</v>
      </c>
      <c r="F131" s="4">
        <v>7.5</v>
      </c>
      <c r="G131" s="4">
        <v>2500</v>
      </c>
      <c r="H131" s="4">
        <v>18750</v>
      </c>
      <c r="I131" s="4">
        <v>-18755.81</v>
      </c>
      <c r="J131" s="4">
        <v>1</v>
      </c>
      <c r="K131" s="4">
        <v>24700</v>
      </c>
      <c r="L131" s="4" t="str">
        <f t="shared" si="128"/>
        <v>人民币</v>
      </c>
      <c r="M131" s="4" t="str">
        <f>"T4013056"</f>
        <v>T4013056</v>
      </c>
      <c r="N131" s="4" t="str">
        <f t="shared" ref="N131:N135" si="131">"0149593788"</f>
        <v>0149593788</v>
      </c>
      <c r="O131" s="4" t="str">
        <f t="shared" si="130"/>
        <v>300100052893</v>
      </c>
    </row>
    <row r="132" spans="1:15">
      <c r="A132" s="4" t="str">
        <f>"20170925"</f>
        <v>20170925</v>
      </c>
      <c r="B132" s="4" t="str">
        <f t="shared" ref="B132:B137" si="132">"20170925"</f>
        <v>20170925</v>
      </c>
      <c r="C132" s="4" t="str">
        <f>"基金赎回拨入"</f>
        <v>基金赎回拨入</v>
      </c>
      <c r="D132" s="4" t="str">
        <f t="shared" si="126"/>
        <v>AA0007</v>
      </c>
      <c r="E132" s="4" t="str">
        <f t="shared" si="127"/>
        <v>银河水星1号集合</v>
      </c>
      <c r="F132" s="4">
        <v>0</v>
      </c>
      <c r="G132" s="4">
        <v>13165</v>
      </c>
      <c r="H132" s="4">
        <v>0</v>
      </c>
      <c r="I132" s="4">
        <v>13165</v>
      </c>
      <c r="J132" s="4">
        <v>13166</v>
      </c>
      <c r="K132" s="4">
        <v>0</v>
      </c>
      <c r="L132" s="4" t="str">
        <f t="shared" si="128"/>
        <v>人民币</v>
      </c>
      <c r="N132" s="4" t="str">
        <f t="shared" si="129"/>
        <v>980149593788</v>
      </c>
      <c r="O132" s="4" t="str">
        <f t="shared" si="130"/>
        <v>300100052893</v>
      </c>
    </row>
    <row r="133" spans="1:15">
      <c r="A133" s="4" t="str">
        <f>"20170925"</f>
        <v>20170925</v>
      </c>
      <c r="B133" s="4" t="str">
        <f t="shared" si="132"/>
        <v>20170925</v>
      </c>
      <c r="C133" s="4" t="str">
        <f>"证券买入"</f>
        <v>证券买入</v>
      </c>
      <c r="D133" s="4" t="str">
        <f>"150153"</f>
        <v>150153</v>
      </c>
      <c r="E133" s="4" t="str">
        <f>"创业板B"</f>
        <v>创业板B</v>
      </c>
      <c r="F133" s="4">
        <v>0.658</v>
      </c>
      <c r="G133" s="4">
        <v>20000</v>
      </c>
      <c r="H133" s="4">
        <v>13160</v>
      </c>
      <c r="I133" s="4">
        <v>-13165</v>
      </c>
      <c r="J133" s="4">
        <v>1</v>
      </c>
      <c r="K133" s="4">
        <v>20000</v>
      </c>
      <c r="L133" s="4" t="str">
        <f t="shared" si="128"/>
        <v>人民币</v>
      </c>
      <c r="M133" s="4" t="str">
        <f>"T4002470"</f>
        <v>T4002470</v>
      </c>
      <c r="N133" s="4" t="str">
        <f t="shared" si="131"/>
        <v>0149593788</v>
      </c>
      <c r="O133" s="4" t="str">
        <f t="shared" si="130"/>
        <v>300100052893</v>
      </c>
    </row>
    <row r="134" spans="1:15">
      <c r="A134" s="4" t="str">
        <f>"20170926"</f>
        <v>20170926</v>
      </c>
      <c r="B134" s="4" t="str">
        <f>"20170926"</f>
        <v>20170926</v>
      </c>
      <c r="C134" s="4" t="str">
        <f>"基金申购拨出"</f>
        <v>基金申购拨出</v>
      </c>
      <c r="D134" s="4" t="str">
        <f t="shared" si="126"/>
        <v>AA0007</v>
      </c>
      <c r="E134" s="4" t="str">
        <f t="shared" si="127"/>
        <v>银河水星1号集合</v>
      </c>
      <c r="F134" s="4">
        <v>0</v>
      </c>
      <c r="G134" s="4">
        <v>0</v>
      </c>
      <c r="H134" s="4">
        <v>0</v>
      </c>
      <c r="I134" s="4">
        <v>-12635</v>
      </c>
      <c r="J134" s="4">
        <v>-12634</v>
      </c>
      <c r="K134" s="4">
        <v>0</v>
      </c>
      <c r="L134" s="4" t="str">
        <f t="shared" si="128"/>
        <v>人民币</v>
      </c>
      <c r="N134" s="4" t="str">
        <f t="shared" si="129"/>
        <v>980149593788</v>
      </c>
      <c r="O134" s="4" t="str">
        <f t="shared" si="130"/>
        <v>300100052893</v>
      </c>
    </row>
    <row r="135" spans="1:15">
      <c r="A135" s="4" t="str">
        <f>"20170926"</f>
        <v>20170926</v>
      </c>
      <c r="B135" s="4" t="str">
        <f>"20170926"</f>
        <v>20170926</v>
      </c>
      <c r="C135" s="4" t="str">
        <f>"证券卖出"</f>
        <v>证券卖出</v>
      </c>
      <c r="D135" s="4" t="str">
        <f>"150153"</f>
        <v>150153</v>
      </c>
      <c r="E135" s="4" t="str">
        <f>"创业板B"</f>
        <v>创业板B</v>
      </c>
      <c r="F135" s="4">
        <v>0.632</v>
      </c>
      <c r="G135" s="4">
        <v>20000</v>
      </c>
      <c r="H135" s="4">
        <v>12640</v>
      </c>
      <c r="I135" s="4">
        <v>12635</v>
      </c>
      <c r="J135" s="4">
        <v>1</v>
      </c>
      <c r="K135" s="4">
        <v>0</v>
      </c>
      <c r="L135" s="4" t="str">
        <f t="shared" si="128"/>
        <v>人民币</v>
      </c>
      <c r="M135" s="4" t="str">
        <f>"T4006869"</f>
        <v>T4006869</v>
      </c>
      <c r="N135" s="4" t="str">
        <f t="shared" si="131"/>
        <v>0149593788</v>
      </c>
      <c r="O135" s="4" t="str">
        <f t="shared" si="130"/>
        <v>300100052893</v>
      </c>
    </row>
    <row r="136" spans="1:15">
      <c r="A136" s="4" t="str">
        <f>"20170927"</f>
        <v>20170927</v>
      </c>
      <c r="B136" s="4" t="str">
        <f>"20170927"</f>
        <v>20170927</v>
      </c>
      <c r="C136" s="4" t="str">
        <f>"基金赎回拨入"</f>
        <v>基金赎回拨入</v>
      </c>
      <c r="D136" s="4" t="str">
        <f t="shared" ref="D136:D141" si="133">"AA0007"</f>
        <v>AA0007</v>
      </c>
      <c r="E136" s="4" t="str">
        <f t="shared" ref="E136:E141" si="134">"银河水星1号集合"</f>
        <v>银河水星1号集合</v>
      </c>
      <c r="F136" s="4">
        <v>0</v>
      </c>
      <c r="G136" s="4">
        <v>999</v>
      </c>
      <c r="H136" s="4">
        <v>0</v>
      </c>
      <c r="I136" s="4">
        <v>999</v>
      </c>
      <c r="J136" s="4">
        <v>1000</v>
      </c>
      <c r="K136" s="4">
        <v>0</v>
      </c>
      <c r="L136" s="4" t="str">
        <f t="shared" si="128"/>
        <v>人民币</v>
      </c>
      <c r="N136" s="4" t="str">
        <f t="shared" ref="N136:N141" si="135">"980149593788"</f>
        <v>980149593788</v>
      </c>
      <c r="O136" s="4" t="str">
        <f t="shared" si="130"/>
        <v>300100052893</v>
      </c>
    </row>
    <row r="137" spans="1:15">
      <c r="A137" s="4" t="str">
        <f>"20170927"</f>
        <v>20170927</v>
      </c>
      <c r="B137" s="4" t="str">
        <f t="shared" si="132"/>
        <v>20170925</v>
      </c>
      <c r="C137" s="4" t="str">
        <f>"配售缴款"</f>
        <v>配售缴款</v>
      </c>
      <c r="D137" s="4" t="str">
        <f>"072271"</f>
        <v>072271</v>
      </c>
      <c r="E137" s="4" t="str">
        <f>"雨虹发债"</f>
        <v>雨虹发债</v>
      </c>
      <c r="F137" s="4">
        <v>100</v>
      </c>
      <c r="G137" s="4">
        <v>10</v>
      </c>
      <c r="H137" s="4">
        <v>1000</v>
      </c>
      <c r="I137" s="4">
        <v>-1000</v>
      </c>
      <c r="J137" s="4">
        <v>0</v>
      </c>
      <c r="K137" s="4">
        <v>0</v>
      </c>
      <c r="L137" s="4" t="str">
        <f t="shared" si="128"/>
        <v>人民币</v>
      </c>
      <c r="M137" s="4" t="str">
        <f>"T4000183"</f>
        <v>T4000183</v>
      </c>
      <c r="N137" s="4" t="str">
        <f t="shared" ref="N137:N140" si="136">"0149593788"</f>
        <v>0149593788</v>
      </c>
      <c r="O137" s="4" t="str">
        <f t="shared" si="130"/>
        <v>300100052893</v>
      </c>
    </row>
    <row r="138" spans="1:15">
      <c r="A138" s="4" t="str">
        <f t="shared" ref="A138:A140" si="137">"20170928"</f>
        <v>20170928</v>
      </c>
      <c r="B138" s="4" t="str">
        <f t="shared" ref="B138:B142" si="138">"20170928"</f>
        <v>20170928</v>
      </c>
      <c r="C138" s="4" t="str">
        <f>"基金赎回拨入"</f>
        <v>基金赎回拨入</v>
      </c>
      <c r="D138" s="4" t="str">
        <f t="shared" si="133"/>
        <v>AA0007</v>
      </c>
      <c r="E138" s="4" t="str">
        <f t="shared" si="134"/>
        <v>银河水星1号集合</v>
      </c>
      <c r="F138" s="4">
        <v>0</v>
      </c>
      <c r="G138" s="4">
        <v>43292</v>
      </c>
      <c r="H138" s="4">
        <v>0</v>
      </c>
      <c r="I138" s="4">
        <v>43292.26</v>
      </c>
      <c r="J138" s="4">
        <v>43292.26</v>
      </c>
      <c r="K138" s="4">
        <v>0</v>
      </c>
      <c r="L138" s="4" t="str">
        <f t="shared" si="128"/>
        <v>人民币</v>
      </c>
      <c r="N138" s="4" t="str">
        <f t="shared" si="135"/>
        <v>980149593788</v>
      </c>
      <c r="O138" s="4" t="str">
        <f t="shared" si="130"/>
        <v>300100052893</v>
      </c>
    </row>
    <row r="139" spans="1:15">
      <c r="A139" s="4" t="str">
        <f t="shared" si="137"/>
        <v>20170928</v>
      </c>
      <c r="B139" s="4" t="str">
        <f>"20170925"</f>
        <v>20170925</v>
      </c>
      <c r="C139" s="4" t="str">
        <f>"配售股份"</f>
        <v>配售股份</v>
      </c>
      <c r="D139" s="4" t="str">
        <f>"072271"</f>
        <v>072271</v>
      </c>
      <c r="E139" s="4" t="str">
        <f>"雨虹发债"</f>
        <v>雨虹发债</v>
      </c>
      <c r="F139" s="4">
        <v>100</v>
      </c>
      <c r="G139" s="4">
        <v>10</v>
      </c>
      <c r="H139" s="4">
        <v>1000</v>
      </c>
      <c r="I139" s="4">
        <v>0</v>
      </c>
      <c r="J139" s="4">
        <v>43292.26</v>
      </c>
      <c r="K139" s="4">
        <v>10</v>
      </c>
      <c r="L139" s="4" t="str">
        <f t="shared" si="128"/>
        <v>人民币</v>
      </c>
      <c r="M139" s="4" t="str">
        <f>"T4000183"</f>
        <v>T4000183</v>
      </c>
      <c r="N139" s="4" t="str">
        <f t="shared" si="136"/>
        <v>0149593788</v>
      </c>
      <c r="O139" s="4" t="str">
        <f t="shared" si="130"/>
        <v>300100052893</v>
      </c>
    </row>
    <row r="140" spans="1:15">
      <c r="A140" s="4" t="str">
        <f t="shared" si="137"/>
        <v>20170928</v>
      </c>
      <c r="B140" s="4" t="str">
        <f t="shared" si="138"/>
        <v>20170928</v>
      </c>
      <c r="C140" s="4" t="str">
        <f>"融券回购"</f>
        <v>融券回购</v>
      </c>
      <c r="D140" s="4" t="str">
        <f>"131810"</f>
        <v>131810</v>
      </c>
      <c r="E140" s="4" t="str">
        <f>"Ｒ-001"</f>
        <v>Ｒ-001</v>
      </c>
      <c r="F140" s="4">
        <v>9.6</v>
      </c>
      <c r="G140" s="4">
        <v>430</v>
      </c>
      <c r="H140" s="4">
        <v>43000</v>
      </c>
      <c r="I140" s="4">
        <v>-43000.43</v>
      </c>
      <c r="J140" s="4">
        <v>291.83</v>
      </c>
      <c r="K140" s="4">
        <v>0</v>
      </c>
      <c r="L140" s="4" t="str">
        <f t="shared" si="128"/>
        <v>人民币</v>
      </c>
      <c r="M140" s="4" t="str">
        <f>"T4017993"</f>
        <v>T4017993</v>
      </c>
      <c r="N140" s="4" t="str">
        <f t="shared" si="136"/>
        <v>0149593788</v>
      </c>
      <c r="O140" s="4" t="str">
        <f t="shared" si="130"/>
        <v>300100052893</v>
      </c>
    </row>
    <row r="141" spans="1:15">
      <c r="A141" s="4" t="str">
        <f>"20170929"</f>
        <v>20170929</v>
      </c>
      <c r="B141" s="4" t="str">
        <f>"20170929"</f>
        <v>20170929</v>
      </c>
      <c r="C141" s="4" t="str">
        <f>"基金申购拨出"</f>
        <v>基金申购拨出</v>
      </c>
      <c r="D141" s="4" t="str">
        <f t="shared" si="133"/>
        <v>AA0007</v>
      </c>
      <c r="E141" s="4" t="str">
        <f t="shared" si="134"/>
        <v>银河水星1号集合</v>
      </c>
      <c r="F141" s="4">
        <v>0</v>
      </c>
      <c r="G141" s="4">
        <v>0</v>
      </c>
      <c r="H141" s="4">
        <v>0</v>
      </c>
      <c r="I141" s="4">
        <v>-43404.93</v>
      </c>
      <c r="J141" s="4">
        <v>-43113.1</v>
      </c>
      <c r="K141" s="4">
        <v>0</v>
      </c>
      <c r="L141" s="4" t="str">
        <f t="shared" si="128"/>
        <v>人民币</v>
      </c>
      <c r="N141" s="4" t="str">
        <f t="shared" si="135"/>
        <v>980149593788</v>
      </c>
      <c r="O141" s="4" t="str">
        <f t="shared" si="130"/>
        <v>300100052893</v>
      </c>
    </row>
    <row r="142" spans="1:15">
      <c r="A142" s="4" t="str">
        <f>"20170929"</f>
        <v>20170929</v>
      </c>
      <c r="B142" s="4" t="str">
        <f t="shared" si="138"/>
        <v>20170928</v>
      </c>
      <c r="C142" s="4" t="str">
        <f>"融券购回"</f>
        <v>融券购回</v>
      </c>
      <c r="D142" s="4" t="str">
        <f>"131810"</f>
        <v>131810</v>
      </c>
      <c r="E142" s="4" t="str">
        <f>"Ｒ-001"</f>
        <v>Ｒ-001</v>
      </c>
      <c r="F142" s="4">
        <v>9.6</v>
      </c>
      <c r="G142" s="4">
        <v>430</v>
      </c>
      <c r="H142" s="4">
        <v>43113.1</v>
      </c>
      <c r="I142" s="4">
        <v>43113.1</v>
      </c>
      <c r="J142" s="4">
        <v>0</v>
      </c>
      <c r="K142" s="4">
        <v>0</v>
      </c>
      <c r="L142" s="4" t="str">
        <f t="shared" si="128"/>
        <v>人民币</v>
      </c>
      <c r="M142" s="4" t="str">
        <f>"T4017993"</f>
        <v>T4017993</v>
      </c>
      <c r="N142" s="4" t="str">
        <f>"0149593788"</f>
        <v>0149593788</v>
      </c>
      <c r="O142" s="4" t="str">
        <f t="shared" si="130"/>
        <v>300100052893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9"/>
  <sheetViews>
    <sheetView topLeftCell="A109" workbookViewId="0">
      <selection activeCell="A2" sqref="A2:K119"/>
    </sheetView>
  </sheetViews>
  <sheetFormatPr defaultColWidth="9" defaultRowHeight="13.5"/>
  <cols>
    <col min="1" max="16384" width="9" style="4"/>
  </cols>
  <sheetData>
    <row r="1" spans="1:15">
      <c r="A1" s="4" t="str">
        <f>"购买日期"</f>
        <v>购买日期</v>
      </c>
      <c r="B1" s="4" t="str">
        <f>"委托日期"</f>
        <v>委托日期</v>
      </c>
      <c r="C1" s="4" t="str">
        <f>"业务类型"</f>
        <v>业务类型</v>
      </c>
      <c r="D1" s="4" t="str">
        <f>"证券代码"</f>
        <v>证券代码</v>
      </c>
      <c r="E1" s="4" t="str">
        <f>"证券名称"</f>
        <v>证券名称</v>
      </c>
      <c r="F1" s="4" t="str">
        <f>"成交价格"</f>
        <v>成交价格</v>
      </c>
      <c r="G1" s="4" t="str">
        <f>"成交数量"</f>
        <v>成交数量</v>
      </c>
      <c r="H1" s="4" t="str">
        <f>"成交金额"</f>
        <v>成交金额</v>
      </c>
      <c r="I1" s="4" t="str">
        <f>"发生金额"</f>
        <v>发生金额</v>
      </c>
      <c r="J1" s="4" t="str">
        <f>"资金余额"</f>
        <v>资金余额</v>
      </c>
      <c r="K1" s="4" t="str">
        <f>"当前持仓"</f>
        <v>当前持仓</v>
      </c>
      <c r="L1" s="4" t="str">
        <f>"币种"</f>
        <v>币种</v>
      </c>
      <c r="M1" s="4" t="str">
        <f>"协议编号"</f>
        <v>协议编号</v>
      </c>
      <c r="N1" s="4" t="str">
        <f>"股东代码"</f>
        <v>股东代码</v>
      </c>
      <c r="O1" s="4" t="str">
        <f>"产品账号"</f>
        <v>产品账号</v>
      </c>
    </row>
    <row r="2" spans="1:15">
      <c r="A2" s="4" t="str">
        <f>"20171009"</f>
        <v>20171009</v>
      </c>
      <c r="B2" s="4" t="str">
        <f t="shared" ref="B2:B6" si="0">"20171009"</f>
        <v>20171009</v>
      </c>
      <c r="C2" s="4" t="str">
        <f>"基金赎回拨入"</f>
        <v>基金赎回拨入</v>
      </c>
      <c r="D2" s="4" t="str">
        <f t="shared" ref="D2:D7" si="1">"AA0007"</f>
        <v>AA0007</v>
      </c>
      <c r="E2" s="4" t="str">
        <f t="shared" ref="E2:E7" si="2">"银河水星1号集合"</f>
        <v>银河水星1号集合</v>
      </c>
      <c r="F2" s="4">
        <v>0</v>
      </c>
      <c r="G2" s="4">
        <v>43404</v>
      </c>
      <c r="H2" s="4">
        <v>0</v>
      </c>
      <c r="I2" s="4">
        <v>43404.93</v>
      </c>
      <c r="J2" s="4">
        <v>43404.93</v>
      </c>
      <c r="K2" s="4">
        <v>0</v>
      </c>
      <c r="L2" s="4" t="str">
        <f t="shared" ref="L2:L65" si="3">"人民币"</f>
        <v>人民币</v>
      </c>
      <c r="N2" s="4" t="str">
        <f t="shared" ref="N2:N7" si="4">"980149593788"</f>
        <v>980149593788</v>
      </c>
      <c r="O2" s="4" t="str">
        <f t="shared" ref="O2:O65" si="5">"300100052893"</f>
        <v>300100052893</v>
      </c>
    </row>
    <row r="3" spans="1:15">
      <c r="A3" s="4" t="str">
        <f>"20171009"</f>
        <v>20171009</v>
      </c>
      <c r="B3" s="4" t="str">
        <f>"20170925"</f>
        <v>20170925</v>
      </c>
      <c r="C3" s="4" t="str">
        <f>"新股入帐"</f>
        <v>新股入帐</v>
      </c>
      <c r="D3" s="4" t="str">
        <f>"128016"</f>
        <v>128016</v>
      </c>
      <c r="E3" s="4" t="str">
        <f>"新代码"</f>
        <v>新代码</v>
      </c>
      <c r="F3" s="4">
        <v>0</v>
      </c>
      <c r="G3" s="4">
        <v>10</v>
      </c>
      <c r="H3" s="4">
        <v>0</v>
      </c>
      <c r="I3" s="4">
        <v>0</v>
      </c>
      <c r="J3" s="4">
        <v>43404.93</v>
      </c>
      <c r="K3" s="4">
        <v>10</v>
      </c>
      <c r="L3" s="4" t="str">
        <f t="shared" si="3"/>
        <v>人民币</v>
      </c>
      <c r="N3" s="4" t="str">
        <f t="shared" ref="N3:N6" si="6">"0149593788"</f>
        <v>0149593788</v>
      </c>
      <c r="O3" s="4" t="str">
        <f t="shared" si="5"/>
        <v>300100052893</v>
      </c>
    </row>
    <row r="4" spans="1:15">
      <c r="A4" s="4" t="str">
        <f>"20171009"</f>
        <v>20171009</v>
      </c>
      <c r="B4" s="4" t="str">
        <f t="shared" si="0"/>
        <v>20171009</v>
      </c>
      <c r="C4" s="4" t="str">
        <f>"融券回购"</f>
        <v>融券回购</v>
      </c>
      <c r="D4" s="4" t="str">
        <f>"131810"</f>
        <v>131810</v>
      </c>
      <c r="E4" s="4" t="str">
        <f>"Ｒ-001"</f>
        <v>Ｒ-001</v>
      </c>
      <c r="F4" s="4">
        <v>9</v>
      </c>
      <c r="G4" s="4">
        <v>430</v>
      </c>
      <c r="H4" s="4">
        <v>43000</v>
      </c>
      <c r="I4" s="4">
        <v>-43000.43</v>
      </c>
      <c r="J4" s="4">
        <v>404.5</v>
      </c>
      <c r="K4" s="4">
        <v>0</v>
      </c>
      <c r="L4" s="4" t="str">
        <f t="shared" si="3"/>
        <v>人民币</v>
      </c>
      <c r="M4" s="4" t="str">
        <f>"T4007212"</f>
        <v>T4007212</v>
      </c>
      <c r="N4" s="4" t="str">
        <f t="shared" si="6"/>
        <v>0149593788</v>
      </c>
      <c r="O4" s="4" t="str">
        <f t="shared" si="5"/>
        <v>300100052893</v>
      </c>
    </row>
    <row r="5" spans="1:15">
      <c r="A5" s="4" t="str">
        <f>"20171010"</f>
        <v>20171010</v>
      </c>
      <c r="B5" s="4" t="str">
        <f>"20171010"</f>
        <v>20171010</v>
      </c>
      <c r="C5" s="4" t="str">
        <f>"基金申购拨出"</f>
        <v>基金申购拨出</v>
      </c>
      <c r="D5" s="4" t="str">
        <f t="shared" si="1"/>
        <v>AA0007</v>
      </c>
      <c r="E5" s="4" t="str">
        <f t="shared" si="2"/>
        <v>银河水星1号集合</v>
      </c>
      <c r="F5" s="4">
        <v>0</v>
      </c>
      <c r="G5" s="4">
        <v>0</v>
      </c>
      <c r="H5" s="4">
        <v>0</v>
      </c>
      <c r="I5" s="4">
        <v>-43415.1</v>
      </c>
      <c r="J5" s="4">
        <v>-43010.6</v>
      </c>
      <c r="K5" s="4">
        <v>0</v>
      </c>
      <c r="L5" s="4" t="str">
        <f t="shared" si="3"/>
        <v>人民币</v>
      </c>
      <c r="N5" s="4" t="str">
        <f t="shared" si="4"/>
        <v>980149593788</v>
      </c>
      <c r="O5" s="4" t="str">
        <f t="shared" si="5"/>
        <v>300100052893</v>
      </c>
    </row>
    <row r="6" spans="1:15">
      <c r="A6" s="4" t="str">
        <f>"20171010"</f>
        <v>20171010</v>
      </c>
      <c r="B6" s="4" t="str">
        <f t="shared" si="0"/>
        <v>20171009</v>
      </c>
      <c r="C6" s="4" t="str">
        <f>"融券购回"</f>
        <v>融券购回</v>
      </c>
      <c r="D6" s="4" t="str">
        <f>"131810"</f>
        <v>131810</v>
      </c>
      <c r="E6" s="4" t="str">
        <f>"Ｒ-001"</f>
        <v>Ｒ-001</v>
      </c>
      <c r="F6" s="4">
        <v>9</v>
      </c>
      <c r="G6" s="4">
        <v>430</v>
      </c>
      <c r="H6" s="4">
        <v>43010.6</v>
      </c>
      <c r="I6" s="4">
        <v>43010.6</v>
      </c>
      <c r="J6" s="4">
        <v>0</v>
      </c>
      <c r="K6" s="4">
        <v>0</v>
      </c>
      <c r="L6" s="4" t="str">
        <f t="shared" si="3"/>
        <v>人民币</v>
      </c>
      <c r="M6" s="4" t="str">
        <f>"T4007212"</f>
        <v>T4007212</v>
      </c>
      <c r="N6" s="4" t="str">
        <f t="shared" si="6"/>
        <v>0149593788</v>
      </c>
      <c r="O6" s="4" t="str">
        <f t="shared" si="5"/>
        <v>300100052893</v>
      </c>
    </row>
    <row r="7" spans="1:15">
      <c r="A7" s="4" t="str">
        <f>"20171013"</f>
        <v>20171013</v>
      </c>
      <c r="B7" s="4" t="str">
        <f>"20171013"</f>
        <v>20171013</v>
      </c>
      <c r="C7" s="4" t="str">
        <f>"基金赎回拨入"</f>
        <v>基金赎回拨入</v>
      </c>
      <c r="D7" s="4" t="str">
        <f t="shared" si="1"/>
        <v>AA0007</v>
      </c>
      <c r="E7" s="4" t="str">
        <f t="shared" si="2"/>
        <v>银河水星1号集合</v>
      </c>
      <c r="F7" s="4">
        <v>0</v>
      </c>
      <c r="G7" s="4">
        <v>18866</v>
      </c>
      <c r="H7" s="4">
        <v>0</v>
      </c>
      <c r="I7" s="4">
        <v>18866.85</v>
      </c>
      <c r="J7" s="4">
        <v>18866.85</v>
      </c>
      <c r="K7" s="4">
        <v>0</v>
      </c>
      <c r="L7" s="4" t="str">
        <f t="shared" si="3"/>
        <v>人民币</v>
      </c>
      <c r="N7" s="4" t="str">
        <f t="shared" si="4"/>
        <v>980149593788</v>
      </c>
      <c r="O7" s="4" t="str">
        <f t="shared" si="5"/>
        <v>300100052893</v>
      </c>
    </row>
    <row r="8" spans="1:15">
      <c r="A8" s="4" t="str">
        <f>"20171013"</f>
        <v>20171013</v>
      </c>
      <c r="B8" s="4" t="str">
        <f>"20171013"</f>
        <v>20171013</v>
      </c>
      <c r="C8" s="4" t="str">
        <f>"证券买入"</f>
        <v>证券买入</v>
      </c>
      <c r="D8" s="4" t="str">
        <f>"150182"</f>
        <v>150182</v>
      </c>
      <c r="E8" s="4" t="str">
        <f>"军工B"</f>
        <v>军工B</v>
      </c>
      <c r="F8" s="4">
        <v>0.943</v>
      </c>
      <c r="G8" s="4">
        <v>20000</v>
      </c>
      <c r="H8" s="4">
        <v>18860</v>
      </c>
      <c r="I8" s="4">
        <v>-18865.85</v>
      </c>
      <c r="J8" s="4">
        <v>1</v>
      </c>
      <c r="K8" s="4">
        <v>20000</v>
      </c>
      <c r="L8" s="4" t="str">
        <f t="shared" si="3"/>
        <v>人民币</v>
      </c>
      <c r="M8" s="4" t="str">
        <f>"T4007562"</f>
        <v>T4007562</v>
      </c>
      <c r="N8" s="4" t="str">
        <f t="shared" ref="N8:N11" si="7">"0149593788"</f>
        <v>0149593788</v>
      </c>
      <c r="O8" s="4" t="str">
        <f t="shared" si="5"/>
        <v>300100052893</v>
      </c>
    </row>
    <row r="9" spans="1:15">
      <c r="A9" s="4" t="str">
        <f t="shared" ref="A9:A11" si="8">"20171016"</f>
        <v>20171016</v>
      </c>
      <c r="B9" s="4" t="str">
        <f t="shared" ref="B9:B11" si="9">"20171016"</f>
        <v>20171016</v>
      </c>
      <c r="C9" s="4" t="str">
        <f>"基金申购拨出"</f>
        <v>基金申购拨出</v>
      </c>
      <c r="D9" s="4" t="str">
        <f t="shared" ref="D9:D14" si="10">"AA0007"</f>
        <v>AA0007</v>
      </c>
      <c r="E9" s="4" t="str">
        <f t="shared" ref="E9:E14" si="11">"银河水星1号集合"</f>
        <v>银河水星1号集合</v>
      </c>
      <c r="F9" s="4">
        <v>0</v>
      </c>
      <c r="G9" s="4">
        <v>0</v>
      </c>
      <c r="H9" s="4">
        <v>0</v>
      </c>
      <c r="I9" s="4">
        <v>-5049.19</v>
      </c>
      <c r="J9" s="4">
        <v>-5048.19</v>
      </c>
      <c r="K9" s="4">
        <v>0</v>
      </c>
      <c r="L9" s="4" t="str">
        <f t="shared" si="3"/>
        <v>人民币</v>
      </c>
      <c r="N9" s="4" t="str">
        <f t="shared" ref="N9:N14" si="12">"980149593788"</f>
        <v>980149593788</v>
      </c>
      <c r="O9" s="4" t="str">
        <f t="shared" si="5"/>
        <v>300100052893</v>
      </c>
    </row>
    <row r="10" spans="1:15">
      <c r="A10" s="4" t="str">
        <f t="shared" si="8"/>
        <v>20171016</v>
      </c>
      <c r="B10" s="4" t="str">
        <f t="shared" si="9"/>
        <v>20171016</v>
      </c>
      <c r="C10" s="4" t="str">
        <f>"证券卖出"</f>
        <v>证券卖出</v>
      </c>
      <c r="D10" s="4" t="str">
        <f>"150182"</f>
        <v>150182</v>
      </c>
      <c r="E10" s="4" t="str">
        <f>"军工B"</f>
        <v>军工B</v>
      </c>
      <c r="F10" s="4">
        <v>0.937</v>
      </c>
      <c r="G10" s="4">
        <v>20000</v>
      </c>
      <c r="H10" s="4">
        <v>18740</v>
      </c>
      <c r="I10" s="4">
        <v>18734.19</v>
      </c>
      <c r="J10" s="4">
        <v>13686</v>
      </c>
      <c r="K10" s="4">
        <v>0</v>
      </c>
      <c r="L10" s="4" t="str">
        <f t="shared" si="3"/>
        <v>人民币</v>
      </c>
      <c r="M10" s="4" t="str">
        <f>"T4001999"</f>
        <v>T4001999</v>
      </c>
      <c r="N10" s="4" t="str">
        <f t="shared" si="7"/>
        <v>0149593788</v>
      </c>
      <c r="O10" s="4" t="str">
        <f t="shared" si="5"/>
        <v>300100052893</v>
      </c>
    </row>
    <row r="11" spans="1:15">
      <c r="A11" s="4" t="str">
        <f t="shared" si="8"/>
        <v>20171016</v>
      </c>
      <c r="B11" s="4" t="str">
        <f t="shared" si="9"/>
        <v>20171016</v>
      </c>
      <c r="C11" s="4" t="str">
        <f>"证券买入"</f>
        <v>证券买入</v>
      </c>
      <c r="D11" s="4" t="str">
        <f>"150153"</f>
        <v>150153</v>
      </c>
      <c r="E11" s="4" t="str">
        <f>"创业板B"</f>
        <v>创业板B</v>
      </c>
      <c r="F11" s="4">
        <v>0.684</v>
      </c>
      <c r="G11" s="4">
        <v>20000</v>
      </c>
      <c r="H11" s="4">
        <v>13680</v>
      </c>
      <c r="I11" s="4">
        <v>-13685</v>
      </c>
      <c r="J11" s="4">
        <v>1</v>
      </c>
      <c r="K11" s="4">
        <v>20000</v>
      </c>
      <c r="L11" s="4" t="str">
        <f t="shared" si="3"/>
        <v>人民币</v>
      </c>
      <c r="M11" s="4" t="str">
        <f>"T4003813"</f>
        <v>T4003813</v>
      </c>
      <c r="N11" s="4" t="str">
        <f t="shared" si="7"/>
        <v>0149593788</v>
      </c>
      <c r="O11" s="4" t="str">
        <f t="shared" si="5"/>
        <v>300100052893</v>
      </c>
    </row>
    <row r="12" spans="1:15">
      <c r="A12" s="4" t="str">
        <f>"20171018"</f>
        <v>20171018</v>
      </c>
      <c r="B12" s="4" t="str">
        <f>"20171018"</f>
        <v>20171018</v>
      </c>
      <c r="C12" s="4" t="str">
        <f>"基金申购拨出"</f>
        <v>基金申购拨出</v>
      </c>
      <c r="D12" s="4" t="str">
        <f t="shared" si="10"/>
        <v>AA0007</v>
      </c>
      <c r="E12" s="4" t="str">
        <f t="shared" si="11"/>
        <v>银河水星1号集合</v>
      </c>
      <c r="F12" s="4">
        <v>0</v>
      </c>
      <c r="G12" s="4">
        <v>0</v>
      </c>
      <c r="H12" s="4">
        <v>0</v>
      </c>
      <c r="I12" s="4">
        <v>-12429.8</v>
      </c>
      <c r="J12" s="4">
        <v>-12428.8</v>
      </c>
      <c r="K12" s="4">
        <v>0</v>
      </c>
      <c r="L12" s="4" t="str">
        <f t="shared" si="3"/>
        <v>人民币</v>
      </c>
      <c r="N12" s="4" t="str">
        <f t="shared" si="12"/>
        <v>980149593788</v>
      </c>
      <c r="O12" s="4" t="str">
        <f t="shared" si="5"/>
        <v>300100052893</v>
      </c>
    </row>
    <row r="13" spans="1:15">
      <c r="A13" s="4" t="str">
        <f>"20171018"</f>
        <v>20171018</v>
      </c>
      <c r="B13" s="4" t="str">
        <f>"20171018"</f>
        <v>20171018</v>
      </c>
      <c r="C13" s="4" t="str">
        <f>"证券卖出"</f>
        <v>证券卖出</v>
      </c>
      <c r="D13" s="4" t="str">
        <f>"600219"</f>
        <v>600219</v>
      </c>
      <c r="E13" s="4" t="str">
        <f>"南山铝业"</f>
        <v>南山铝业</v>
      </c>
      <c r="F13" s="4">
        <v>3.83</v>
      </c>
      <c r="G13" s="4">
        <v>3250</v>
      </c>
      <c r="H13" s="4">
        <v>12447.5</v>
      </c>
      <c r="I13" s="4">
        <v>12429.8</v>
      </c>
      <c r="J13" s="4">
        <v>1</v>
      </c>
      <c r="K13" s="4">
        <v>0</v>
      </c>
      <c r="L13" s="4" t="str">
        <f t="shared" si="3"/>
        <v>人民币</v>
      </c>
      <c r="M13" s="4" t="str">
        <f>"0136002618"</f>
        <v>0136002618</v>
      </c>
      <c r="N13" s="4" t="str">
        <f>"A368402599"</f>
        <v>A368402599</v>
      </c>
      <c r="O13" s="4" t="str">
        <f t="shared" si="5"/>
        <v>300100052893</v>
      </c>
    </row>
    <row r="14" spans="1:15">
      <c r="A14" s="4" t="str">
        <f>"20171019"</f>
        <v>20171019</v>
      </c>
      <c r="B14" s="4" t="str">
        <f>"20171019"</f>
        <v>20171019</v>
      </c>
      <c r="C14" s="4" t="str">
        <f>"基金赎回拨入"</f>
        <v>基金赎回拨入</v>
      </c>
      <c r="D14" s="4" t="str">
        <f t="shared" si="10"/>
        <v>AA0007</v>
      </c>
      <c r="E14" s="4" t="str">
        <f t="shared" si="11"/>
        <v>银河水星1号集合</v>
      </c>
      <c r="F14" s="4">
        <v>0</v>
      </c>
      <c r="G14" s="4">
        <v>17705</v>
      </c>
      <c r="H14" s="4">
        <v>0</v>
      </c>
      <c r="I14" s="4">
        <v>17705.49</v>
      </c>
      <c r="J14" s="4">
        <v>17706.49</v>
      </c>
      <c r="K14" s="4">
        <v>0</v>
      </c>
      <c r="L14" s="4" t="str">
        <f t="shared" si="3"/>
        <v>人民币</v>
      </c>
      <c r="N14" s="4" t="str">
        <f t="shared" si="12"/>
        <v>980149593788</v>
      </c>
      <c r="O14" s="4" t="str">
        <f t="shared" si="5"/>
        <v>300100052893</v>
      </c>
    </row>
    <row r="15" spans="1:15">
      <c r="A15" s="4" t="str">
        <f>"20171019"</f>
        <v>20171019</v>
      </c>
      <c r="B15" s="4" t="str">
        <f>"20171019"</f>
        <v>20171019</v>
      </c>
      <c r="C15" s="4" t="str">
        <f t="shared" ref="C15:C19" si="13">"证券买入"</f>
        <v>证券买入</v>
      </c>
      <c r="D15" s="4" t="str">
        <f>"150182"</f>
        <v>150182</v>
      </c>
      <c r="E15" s="4" t="str">
        <f>"军工B"</f>
        <v>军工B</v>
      </c>
      <c r="F15" s="4">
        <v>0.885</v>
      </c>
      <c r="G15" s="4">
        <v>20000</v>
      </c>
      <c r="H15" s="4">
        <v>17700</v>
      </c>
      <c r="I15" s="4">
        <v>-17705.49</v>
      </c>
      <c r="J15" s="4">
        <v>1</v>
      </c>
      <c r="K15" s="4">
        <v>20000</v>
      </c>
      <c r="L15" s="4" t="str">
        <f t="shared" si="3"/>
        <v>人民币</v>
      </c>
      <c r="M15" s="4" t="str">
        <f>"T4014006"</f>
        <v>T4014006</v>
      </c>
      <c r="N15" s="4" t="str">
        <f t="shared" ref="N15:N21" si="14">"0149593788"</f>
        <v>0149593788</v>
      </c>
      <c r="O15" s="4" t="str">
        <f t="shared" si="5"/>
        <v>300100052893</v>
      </c>
    </row>
    <row r="16" spans="1:15">
      <c r="A16" s="4" t="str">
        <f t="shared" ref="A16:A18" si="15">"20171023"</f>
        <v>20171023</v>
      </c>
      <c r="B16" s="4" t="str">
        <f t="shared" ref="B16:B18" si="16">"20171023"</f>
        <v>20171023</v>
      </c>
      <c r="C16" s="4" t="str">
        <f>"基金赎回拨入"</f>
        <v>基金赎回拨入</v>
      </c>
      <c r="D16" s="4" t="str">
        <f>"AA0007"</f>
        <v>AA0007</v>
      </c>
      <c r="E16" s="4" t="str">
        <f>"银河水星1号集合"</f>
        <v>银河水星1号集合</v>
      </c>
      <c r="F16" s="4">
        <v>0</v>
      </c>
      <c r="G16" s="4">
        <v>12012</v>
      </c>
      <c r="H16" s="4">
        <v>0</v>
      </c>
      <c r="I16" s="4">
        <v>12012.53</v>
      </c>
      <c r="J16" s="4">
        <v>12013.53</v>
      </c>
      <c r="K16" s="4">
        <v>0</v>
      </c>
      <c r="L16" s="4" t="str">
        <f t="shared" si="3"/>
        <v>人民币</v>
      </c>
      <c r="N16" s="4" t="str">
        <f>"980149593788"</f>
        <v>980149593788</v>
      </c>
      <c r="O16" s="4" t="str">
        <f t="shared" si="5"/>
        <v>300100052893</v>
      </c>
    </row>
    <row r="17" spans="1:15">
      <c r="A17" s="4" t="str">
        <f t="shared" si="15"/>
        <v>20171023</v>
      </c>
      <c r="B17" s="4" t="str">
        <f t="shared" si="16"/>
        <v>20171023</v>
      </c>
      <c r="C17" s="4" t="str">
        <f>"证券卖出"</f>
        <v>证券卖出</v>
      </c>
      <c r="D17" s="4" t="str">
        <f>"128016"</f>
        <v>128016</v>
      </c>
      <c r="E17" s="4" t="str">
        <f>"雨虹转债"</f>
        <v>雨虹转债</v>
      </c>
      <c r="F17" s="4">
        <v>119.366</v>
      </c>
      <c r="G17" s="4">
        <v>10</v>
      </c>
      <c r="H17" s="4">
        <v>1193.66</v>
      </c>
      <c r="I17" s="4">
        <v>1192.47</v>
      </c>
      <c r="J17" s="4">
        <v>13206</v>
      </c>
      <c r="K17" s="4">
        <v>0</v>
      </c>
      <c r="L17" s="4" t="str">
        <f t="shared" si="3"/>
        <v>人民币</v>
      </c>
      <c r="M17" s="4" t="str">
        <f>"T4001486"</f>
        <v>T4001486</v>
      </c>
      <c r="N17" s="4" t="str">
        <f t="shared" si="14"/>
        <v>0149593788</v>
      </c>
      <c r="O17" s="4" t="str">
        <f t="shared" si="5"/>
        <v>300100052893</v>
      </c>
    </row>
    <row r="18" spans="1:15">
      <c r="A18" s="4" t="str">
        <f t="shared" si="15"/>
        <v>20171023</v>
      </c>
      <c r="B18" s="4" t="str">
        <f t="shared" si="16"/>
        <v>20171023</v>
      </c>
      <c r="C18" s="4" t="str">
        <f t="shared" si="13"/>
        <v>证券买入</v>
      </c>
      <c r="D18" s="4" t="str">
        <f t="shared" ref="D18:D20" si="17">"150153"</f>
        <v>150153</v>
      </c>
      <c r="E18" s="4" t="str">
        <f t="shared" ref="E18:E20" si="18">"创业板B"</f>
        <v>创业板B</v>
      </c>
      <c r="F18" s="4">
        <v>0.66</v>
      </c>
      <c r="G18" s="4">
        <v>20000</v>
      </c>
      <c r="H18" s="4">
        <v>13200</v>
      </c>
      <c r="I18" s="4">
        <v>-13205</v>
      </c>
      <c r="J18" s="4">
        <v>1</v>
      </c>
      <c r="K18" s="4">
        <v>40000</v>
      </c>
      <c r="L18" s="4" t="str">
        <f t="shared" si="3"/>
        <v>人民币</v>
      </c>
      <c r="M18" s="4" t="str">
        <f>"T4001712"</f>
        <v>T4001712</v>
      </c>
      <c r="N18" s="4" t="str">
        <f t="shared" si="14"/>
        <v>0149593788</v>
      </c>
      <c r="O18" s="4" t="str">
        <f t="shared" si="5"/>
        <v>300100052893</v>
      </c>
    </row>
    <row r="19" spans="1:15">
      <c r="A19" s="4" t="str">
        <f>"20171025"</f>
        <v>20171025</v>
      </c>
      <c r="B19" s="4" t="str">
        <f>"20171025"</f>
        <v>20171025</v>
      </c>
      <c r="C19" s="4" t="str">
        <f t="shared" si="13"/>
        <v>证券买入</v>
      </c>
      <c r="D19" s="4" t="str">
        <f t="shared" si="17"/>
        <v>150153</v>
      </c>
      <c r="E19" s="4" t="str">
        <f t="shared" si="18"/>
        <v>创业板B</v>
      </c>
      <c r="F19" s="4">
        <v>0.663</v>
      </c>
      <c r="G19" s="4">
        <v>18500</v>
      </c>
      <c r="H19" s="4">
        <v>12265.5</v>
      </c>
      <c r="I19" s="4">
        <v>-12270.5</v>
      </c>
      <c r="J19" s="4">
        <v>-12269.5</v>
      </c>
      <c r="K19" s="4">
        <v>58500</v>
      </c>
      <c r="L19" s="4" t="str">
        <f t="shared" si="3"/>
        <v>人民币</v>
      </c>
      <c r="M19" s="4" t="str">
        <f>"T4008563"</f>
        <v>T4008563</v>
      </c>
      <c r="N19" s="4" t="str">
        <f t="shared" si="14"/>
        <v>0149593788</v>
      </c>
      <c r="O19" s="4" t="str">
        <f t="shared" si="5"/>
        <v>300100052893</v>
      </c>
    </row>
    <row r="20" spans="1:15">
      <c r="A20" s="4" t="str">
        <f>"20171025"</f>
        <v>20171025</v>
      </c>
      <c r="B20" s="4" t="str">
        <f>"20171025"</f>
        <v>20171025</v>
      </c>
      <c r="C20" s="4" t="str">
        <f t="shared" ref="C20:C26" si="19">"证券卖出"</f>
        <v>证券卖出</v>
      </c>
      <c r="D20" s="4" t="str">
        <f t="shared" si="17"/>
        <v>150153</v>
      </c>
      <c r="E20" s="4" t="str">
        <f t="shared" si="18"/>
        <v>创业板B</v>
      </c>
      <c r="F20" s="4">
        <v>0.666</v>
      </c>
      <c r="G20" s="4">
        <v>18500</v>
      </c>
      <c r="H20" s="4">
        <v>12321</v>
      </c>
      <c r="I20" s="4">
        <v>12316</v>
      </c>
      <c r="J20" s="4">
        <v>46.5</v>
      </c>
      <c r="K20" s="4">
        <v>40000</v>
      </c>
      <c r="L20" s="4" t="str">
        <f t="shared" si="3"/>
        <v>人民币</v>
      </c>
      <c r="M20" s="4" t="str">
        <f>"T4009571"</f>
        <v>T4009571</v>
      </c>
      <c r="N20" s="4" t="str">
        <f t="shared" si="14"/>
        <v>0149593788</v>
      </c>
      <c r="O20" s="4" t="str">
        <f t="shared" si="5"/>
        <v>300100052893</v>
      </c>
    </row>
    <row r="21" spans="1:15">
      <c r="A21" s="4" t="str">
        <f t="shared" ref="A21:A26" si="20">"20171026"</f>
        <v>20171026</v>
      </c>
      <c r="B21" s="4" t="str">
        <f t="shared" ref="B21:B26" si="21">"20171026"</f>
        <v>20171026</v>
      </c>
      <c r="C21" s="4" t="str">
        <f>"删除过期证券"</f>
        <v>删除过期证券</v>
      </c>
      <c r="D21" s="4" t="str">
        <f>"072271"</f>
        <v>072271</v>
      </c>
      <c r="E21" s="4" t="str">
        <f>"雨虹发债"</f>
        <v>雨虹发债</v>
      </c>
      <c r="F21" s="4">
        <v>0</v>
      </c>
      <c r="G21" s="4">
        <v>0</v>
      </c>
      <c r="H21" s="4">
        <v>0</v>
      </c>
      <c r="I21" s="4">
        <v>0</v>
      </c>
      <c r="J21" s="4">
        <v>46.5</v>
      </c>
      <c r="K21" s="4">
        <v>0</v>
      </c>
      <c r="L21" s="4" t="str">
        <f t="shared" si="3"/>
        <v>人民币</v>
      </c>
      <c r="N21" s="4" t="str">
        <f t="shared" si="14"/>
        <v>0149593788</v>
      </c>
      <c r="O21" s="4" t="str">
        <f t="shared" si="5"/>
        <v>300100052893</v>
      </c>
    </row>
    <row r="22" spans="1:15">
      <c r="A22" s="4" t="str">
        <f t="shared" si="20"/>
        <v>20171026</v>
      </c>
      <c r="B22" s="4" t="str">
        <f t="shared" si="21"/>
        <v>20171026</v>
      </c>
      <c r="C22" s="4" t="str">
        <f>"基金申购拨出"</f>
        <v>基金申购拨出</v>
      </c>
      <c r="D22" s="4" t="str">
        <f>"AA0007"</f>
        <v>AA0007</v>
      </c>
      <c r="E22" s="4" t="str">
        <f>"银河水星1号集合"</f>
        <v>银河水星1号集合</v>
      </c>
      <c r="F22" s="4">
        <v>0</v>
      </c>
      <c r="G22" s="4">
        <v>0</v>
      </c>
      <c r="H22" s="4">
        <v>0</v>
      </c>
      <c r="I22" s="4">
        <v>-31793.51</v>
      </c>
      <c r="J22" s="4">
        <v>-31747.01</v>
      </c>
      <c r="K22" s="4">
        <v>0</v>
      </c>
      <c r="L22" s="4" t="str">
        <f t="shared" si="3"/>
        <v>人民币</v>
      </c>
      <c r="N22" s="4" t="str">
        <f>"980149593788"</f>
        <v>980149593788</v>
      </c>
      <c r="O22" s="4" t="str">
        <f t="shared" si="5"/>
        <v>300100052893</v>
      </c>
    </row>
    <row r="23" spans="1:15">
      <c r="A23" s="4" t="str">
        <f t="shared" si="20"/>
        <v>20171026</v>
      </c>
      <c r="B23" s="4" t="str">
        <f t="shared" si="21"/>
        <v>20171026</v>
      </c>
      <c r="C23" s="4" t="str">
        <f t="shared" si="19"/>
        <v>证券卖出</v>
      </c>
      <c r="D23" s="4" t="str">
        <f>"000601"</f>
        <v>000601</v>
      </c>
      <c r="E23" s="4" t="str">
        <f>"韶能股份"</f>
        <v>韶能股份</v>
      </c>
      <c r="F23" s="4">
        <v>7.8</v>
      </c>
      <c r="G23" s="4">
        <v>2500</v>
      </c>
      <c r="H23" s="4">
        <v>19500</v>
      </c>
      <c r="I23" s="4">
        <v>19474.45</v>
      </c>
      <c r="J23" s="4">
        <v>-12272.56</v>
      </c>
      <c r="K23" s="4">
        <v>22200</v>
      </c>
      <c r="L23" s="4" t="str">
        <f t="shared" si="3"/>
        <v>人民币</v>
      </c>
      <c r="M23" s="4" t="str">
        <f>"T4004278"</f>
        <v>T4004278</v>
      </c>
      <c r="N23" s="4" t="str">
        <f t="shared" ref="N23:N26" si="22">"0149593788"</f>
        <v>0149593788</v>
      </c>
      <c r="O23" s="4" t="str">
        <f t="shared" si="5"/>
        <v>300100052893</v>
      </c>
    </row>
    <row r="24" spans="1:15">
      <c r="A24" s="4" t="str">
        <f t="shared" si="20"/>
        <v>20171026</v>
      </c>
      <c r="B24" s="4" t="str">
        <f t="shared" si="21"/>
        <v>20171026</v>
      </c>
      <c r="C24" s="4" t="str">
        <f>"证券买入"</f>
        <v>证券买入</v>
      </c>
      <c r="D24" s="4" t="str">
        <f>"000768"</f>
        <v>000768</v>
      </c>
      <c r="E24" s="4" t="str">
        <f>"中航飞机"</f>
        <v>中航飞机</v>
      </c>
      <c r="F24" s="4">
        <v>19.11</v>
      </c>
      <c r="G24" s="4">
        <v>1000</v>
      </c>
      <c r="H24" s="4">
        <v>19110</v>
      </c>
      <c r="I24" s="4">
        <v>-19115.92</v>
      </c>
      <c r="J24" s="4">
        <v>-31388.48</v>
      </c>
      <c r="K24" s="4">
        <v>1000</v>
      </c>
      <c r="L24" s="4" t="str">
        <f t="shared" si="3"/>
        <v>人民币</v>
      </c>
      <c r="M24" s="4" t="str">
        <f>"T4005827"</f>
        <v>T4005827</v>
      </c>
      <c r="N24" s="4" t="str">
        <f t="shared" si="22"/>
        <v>0149593788</v>
      </c>
      <c r="O24" s="4" t="str">
        <f t="shared" si="5"/>
        <v>300100052893</v>
      </c>
    </row>
    <row r="25" spans="1:15">
      <c r="A25" s="4" t="str">
        <f t="shared" si="20"/>
        <v>20171026</v>
      </c>
      <c r="B25" s="4" t="str">
        <f t="shared" si="21"/>
        <v>20171026</v>
      </c>
      <c r="C25" s="4" t="str">
        <f t="shared" si="19"/>
        <v>证券卖出</v>
      </c>
      <c r="D25" s="4" t="str">
        <f t="shared" ref="D25:D30" si="23">"150153"</f>
        <v>150153</v>
      </c>
      <c r="E25" s="4" t="str">
        <f t="shared" ref="E25:E30" si="24">"创业板B"</f>
        <v>创业板B</v>
      </c>
      <c r="F25" s="4">
        <v>0.679</v>
      </c>
      <c r="G25" s="4">
        <v>20000</v>
      </c>
      <c r="H25" s="4">
        <v>13580</v>
      </c>
      <c r="I25" s="4">
        <v>13575</v>
      </c>
      <c r="J25" s="4">
        <v>-17813.48</v>
      </c>
      <c r="K25" s="4">
        <v>20000</v>
      </c>
      <c r="L25" s="4" t="str">
        <f t="shared" si="3"/>
        <v>人民币</v>
      </c>
      <c r="M25" s="4" t="str">
        <f>"T4007854"</f>
        <v>T4007854</v>
      </c>
      <c r="N25" s="4" t="str">
        <f t="shared" si="22"/>
        <v>0149593788</v>
      </c>
      <c r="O25" s="4" t="str">
        <f t="shared" si="5"/>
        <v>300100052893</v>
      </c>
    </row>
    <row r="26" spans="1:15">
      <c r="A26" s="4" t="str">
        <f t="shared" si="20"/>
        <v>20171026</v>
      </c>
      <c r="B26" s="4" t="str">
        <f t="shared" si="21"/>
        <v>20171026</v>
      </c>
      <c r="C26" s="4" t="str">
        <f t="shared" si="19"/>
        <v>证券卖出</v>
      </c>
      <c r="D26" s="4" t="str">
        <f>"150182"</f>
        <v>150182</v>
      </c>
      <c r="E26" s="4" t="str">
        <f>"军工B"</f>
        <v>军工B</v>
      </c>
      <c r="F26" s="4">
        <v>0.891</v>
      </c>
      <c r="G26" s="4">
        <v>20000</v>
      </c>
      <c r="H26" s="4">
        <v>17820</v>
      </c>
      <c r="I26" s="4">
        <v>17814.48</v>
      </c>
      <c r="J26" s="4">
        <v>1</v>
      </c>
      <c r="K26" s="4">
        <v>0</v>
      </c>
      <c r="L26" s="4" t="str">
        <f t="shared" si="3"/>
        <v>人民币</v>
      </c>
      <c r="M26" s="4" t="str">
        <f>"T4016306"</f>
        <v>T4016306</v>
      </c>
      <c r="N26" s="4" t="str">
        <f t="shared" si="22"/>
        <v>0149593788</v>
      </c>
      <c r="O26" s="4" t="str">
        <f t="shared" si="5"/>
        <v>300100052893</v>
      </c>
    </row>
    <row r="27" spans="1:15">
      <c r="A27" s="4" t="str">
        <f t="shared" ref="A27:A31" si="25">"20171027"</f>
        <v>20171027</v>
      </c>
      <c r="B27" s="4" t="str">
        <f t="shared" ref="B27:B31" si="26">"20171027"</f>
        <v>20171027</v>
      </c>
      <c r="C27" s="4" t="str">
        <f>"基金赎回拨入"</f>
        <v>基金赎回拨入</v>
      </c>
      <c r="D27" s="4" t="str">
        <f>"AA0007"</f>
        <v>AA0007</v>
      </c>
      <c r="E27" s="4" t="str">
        <f>"银河水星1号集合"</f>
        <v>银河水星1号集合</v>
      </c>
      <c r="F27" s="4">
        <v>0</v>
      </c>
      <c r="G27" s="4">
        <v>21</v>
      </c>
      <c r="H27" s="4">
        <v>0</v>
      </c>
      <c r="I27" s="4">
        <v>21.37</v>
      </c>
      <c r="J27" s="4">
        <v>22.37</v>
      </c>
      <c r="K27" s="4">
        <v>0</v>
      </c>
      <c r="L27" s="4" t="str">
        <f t="shared" si="3"/>
        <v>人民币</v>
      </c>
      <c r="N27" s="4" t="str">
        <f>"980149593788"</f>
        <v>980149593788</v>
      </c>
      <c r="O27" s="4" t="str">
        <f t="shared" si="5"/>
        <v>300100052893</v>
      </c>
    </row>
    <row r="28" spans="1:15">
      <c r="A28" s="4" t="str">
        <f t="shared" si="25"/>
        <v>20171027</v>
      </c>
      <c r="B28" s="4" t="str">
        <f t="shared" si="26"/>
        <v>20171027</v>
      </c>
      <c r="C28" s="4" t="str">
        <f>"证券卖出"</f>
        <v>证券卖出</v>
      </c>
      <c r="D28" s="4" t="str">
        <f t="shared" si="23"/>
        <v>150153</v>
      </c>
      <c r="E28" s="4" t="str">
        <f t="shared" si="24"/>
        <v>创业板B</v>
      </c>
      <c r="F28" s="4">
        <v>0.677</v>
      </c>
      <c r="G28" s="4">
        <v>20000</v>
      </c>
      <c r="H28" s="4">
        <v>13540</v>
      </c>
      <c r="I28" s="4">
        <v>13535</v>
      </c>
      <c r="J28" s="4">
        <v>13557.37</v>
      </c>
      <c r="K28" s="4">
        <v>0</v>
      </c>
      <c r="L28" s="4" t="str">
        <f t="shared" si="3"/>
        <v>人民币</v>
      </c>
      <c r="M28" s="4" t="str">
        <f>"T4007108"</f>
        <v>T4007108</v>
      </c>
      <c r="N28" s="4" t="str">
        <f t="shared" ref="N28:N31" si="27">"0149593788"</f>
        <v>0149593788</v>
      </c>
      <c r="O28" s="4" t="str">
        <f t="shared" si="5"/>
        <v>300100052893</v>
      </c>
    </row>
    <row r="29" spans="1:15">
      <c r="A29" s="4" t="str">
        <f t="shared" si="25"/>
        <v>20171027</v>
      </c>
      <c r="B29" s="4" t="str">
        <f t="shared" si="26"/>
        <v>20171027</v>
      </c>
      <c r="C29" s="4" t="str">
        <f>"证券卖出"</f>
        <v>证券卖出</v>
      </c>
      <c r="D29" s="4" t="str">
        <f>"000768"</f>
        <v>000768</v>
      </c>
      <c r="E29" s="4" t="str">
        <f>"中航飞机"</f>
        <v>中航飞机</v>
      </c>
      <c r="F29" s="4">
        <v>19.36</v>
      </c>
      <c r="G29" s="4">
        <v>1000</v>
      </c>
      <c r="H29" s="4">
        <v>19360</v>
      </c>
      <c r="I29" s="4">
        <v>19334.64</v>
      </c>
      <c r="J29" s="4">
        <v>32892.01</v>
      </c>
      <c r="K29" s="4">
        <v>0</v>
      </c>
      <c r="L29" s="4" t="str">
        <f t="shared" si="3"/>
        <v>人民币</v>
      </c>
      <c r="M29" s="4" t="str">
        <f>"T4007150"</f>
        <v>T4007150</v>
      </c>
      <c r="N29" s="4" t="str">
        <f t="shared" si="27"/>
        <v>0149593788</v>
      </c>
      <c r="O29" s="4" t="str">
        <f t="shared" si="5"/>
        <v>300100052893</v>
      </c>
    </row>
    <row r="30" spans="1:15">
      <c r="A30" s="4" t="str">
        <f t="shared" si="25"/>
        <v>20171027</v>
      </c>
      <c r="B30" s="4" t="str">
        <f t="shared" si="26"/>
        <v>20171027</v>
      </c>
      <c r="C30" s="4" t="str">
        <f t="shared" ref="C30:C33" si="28">"证券买入"</f>
        <v>证券买入</v>
      </c>
      <c r="D30" s="4" t="str">
        <f t="shared" si="23"/>
        <v>150153</v>
      </c>
      <c r="E30" s="4" t="str">
        <f t="shared" si="24"/>
        <v>创业板B</v>
      </c>
      <c r="F30" s="4">
        <v>0.674</v>
      </c>
      <c r="G30" s="4">
        <v>20000</v>
      </c>
      <c r="H30" s="4">
        <v>13480</v>
      </c>
      <c r="I30" s="4">
        <v>-13485</v>
      </c>
      <c r="J30" s="4">
        <v>19407.01</v>
      </c>
      <c r="K30" s="4">
        <v>20000</v>
      </c>
      <c r="L30" s="4" t="str">
        <f t="shared" si="3"/>
        <v>人民币</v>
      </c>
      <c r="M30" s="4" t="str">
        <f>"T4013537"</f>
        <v>T4013537</v>
      </c>
      <c r="N30" s="4" t="str">
        <f t="shared" si="27"/>
        <v>0149593788</v>
      </c>
      <c r="O30" s="4" t="str">
        <f t="shared" si="5"/>
        <v>300100052893</v>
      </c>
    </row>
    <row r="31" spans="1:15">
      <c r="A31" s="4" t="str">
        <f t="shared" si="25"/>
        <v>20171027</v>
      </c>
      <c r="B31" s="4" t="str">
        <f t="shared" si="26"/>
        <v>20171027</v>
      </c>
      <c r="C31" s="4" t="str">
        <f t="shared" si="28"/>
        <v>证券买入</v>
      </c>
      <c r="D31" s="4" t="str">
        <f>"002036"</f>
        <v>002036</v>
      </c>
      <c r="E31" s="4" t="str">
        <f>"联创电子"</f>
        <v>联创电子</v>
      </c>
      <c r="F31" s="4">
        <v>19.4</v>
      </c>
      <c r="G31" s="4">
        <v>1000</v>
      </c>
      <c r="H31" s="4">
        <v>19400</v>
      </c>
      <c r="I31" s="4">
        <v>-19406.01</v>
      </c>
      <c r="J31" s="4">
        <v>1</v>
      </c>
      <c r="K31" s="4">
        <v>1000</v>
      </c>
      <c r="L31" s="4" t="str">
        <f t="shared" si="3"/>
        <v>人民币</v>
      </c>
      <c r="M31" s="4" t="str">
        <f>"T4016933"</f>
        <v>T4016933</v>
      </c>
      <c r="N31" s="4" t="str">
        <f t="shared" si="27"/>
        <v>0149593788</v>
      </c>
      <c r="O31" s="4" t="str">
        <f t="shared" si="5"/>
        <v>300100052893</v>
      </c>
    </row>
    <row r="32" spans="1:15">
      <c r="A32" s="4" t="str">
        <f t="shared" ref="A32:A37" si="29">"20171030"</f>
        <v>20171030</v>
      </c>
      <c r="B32" s="4" t="str">
        <f t="shared" ref="B32:B37" si="30">"20171030"</f>
        <v>20171030</v>
      </c>
      <c r="C32" s="4" t="str">
        <f>"基金赎回拨入"</f>
        <v>基金赎回拨入</v>
      </c>
      <c r="D32" s="4" t="str">
        <f>"AA0007"</f>
        <v>AA0007</v>
      </c>
      <c r="E32" s="4" t="str">
        <f>"银河水星1号集合"</f>
        <v>银河水星1号集合</v>
      </c>
      <c r="F32" s="4">
        <v>0</v>
      </c>
      <c r="G32" s="4">
        <v>16266</v>
      </c>
      <c r="H32" s="4">
        <v>0</v>
      </c>
      <c r="I32" s="4">
        <v>16266.23</v>
      </c>
      <c r="J32" s="4">
        <v>16267.23</v>
      </c>
      <c r="K32" s="4">
        <v>0</v>
      </c>
      <c r="L32" s="4" t="str">
        <f t="shared" si="3"/>
        <v>人民币</v>
      </c>
      <c r="N32" s="4" t="str">
        <f>"980149593788"</f>
        <v>980149593788</v>
      </c>
      <c r="O32" s="4" t="str">
        <f t="shared" si="5"/>
        <v>300100052893</v>
      </c>
    </row>
    <row r="33" spans="1:15">
      <c r="A33" s="4" t="str">
        <f t="shared" si="29"/>
        <v>20171030</v>
      </c>
      <c r="B33" s="4" t="str">
        <f t="shared" si="30"/>
        <v>20171030</v>
      </c>
      <c r="C33" s="4" t="str">
        <f t="shared" si="28"/>
        <v>证券买入</v>
      </c>
      <c r="D33" s="4" t="str">
        <f>"150182"</f>
        <v>150182</v>
      </c>
      <c r="E33" s="4" t="str">
        <f>"军工B"</f>
        <v>军工B</v>
      </c>
      <c r="F33" s="4">
        <v>0.873</v>
      </c>
      <c r="G33" s="4">
        <v>20000</v>
      </c>
      <c r="H33" s="4">
        <v>17460</v>
      </c>
      <c r="I33" s="4">
        <v>-17465.41</v>
      </c>
      <c r="J33" s="4">
        <v>-1198.18</v>
      </c>
      <c r="K33" s="4">
        <v>20000</v>
      </c>
      <c r="L33" s="4" t="str">
        <f t="shared" si="3"/>
        <v>人民币</v>
      </c>
      <c r="M33" s="4" t="str">
        <f>"T4000781"</f>
        <v>T4000781</v>
      </c>
      <c r="N33" s="4" t="str">
        <f t="shared" ref="N33:N37" si="31">"0149593788"</f>
        <v>0149593788</v>
      </c>
      <c r="O33" s="4" t="str">
        <f t="shared" si="5"/>
        <v>300100052893</v>
      </c>
    </row>
    <row r="34" spans="1:15">
      <c r="A34" s="4" t="str">
        <f t="shared" si="29"/>
        <v>20171030</v>
      </c>
      <c r="B34" s="4" t="str">
        <f t="shared" si="30"/>
        <v>20171030</v>
      </c>
      <c r="C34" s="4" t="str">
        <f t="shared" ref="C34:C39" si="32">"证券卖出"</f>
        <v>证券卖出</v>
      </c>
      <c r="D34" s="4" t="str">
        <f t="shared" ref="D34:D39" si="33">"150153"</f>
        <v>150153</v>
      </c>
      <c r="E34" s="4" t="str">
        <f t="shared" ref="E34:E39" si="34">"创业板B"</f>
        <v>创业板B</v>
      </c>
      <c r="F34" s="4">
        <v>0.667</v>
      </c>
      <c r="G34" s="4">
        <v>20000</v>
      </c>
      <c r="H34" s="4">
        <v>13340</v>
      </c>
      <c r="I34" s="4">
        <v>13335</v>
      </c>
      <c r="J34" s="4">
        <v>12136.82</v>
      </c>
      <c r="K34" s="4">
        <v>0</v>
      </c>
      <c r="L34" s="4" t="str">
        <f t="shared" si="3"/>
        <v>人民币</v>
      </c>
      <c r="M34" s="4" t="str">
        <f>"T4001094"</f>
        <v>T4001094</v>
      </c>
      <c r="N34" s="4" t="str">
        <f t="shared" si="31"/>
        <v>0149593788</v>
      </c>
      <c r="O34" s="4" t="str">
        <f t="shared" si="5"/>
        <v>300100052893</v>
      </c>
    </row>
    <row r="35" spans="1:15">
      <c r="A35" s="4" t="str">
        <f t="shared" si="29"/>
        <v>20171030</v>
      </c>
      <c r="B35" s="4" t="str">
        <f t="shared" si="30"/>
        <v>20171030</v>
      </c>
      <c r="C35" s="4" t="str">
        <f t="shared" si="32"/>
        <v>证券卖出</v>
      </c>
      <c r="D35" s="4" t="str">
        <f>"002036"</f>
        <v>002036</v>
      </c>
      <c r="E35" s="4" t="str">
        <f>"联创电子"</f>
        <v>联创电子</v>
      </c>
      <c r="F35" s="4">
        <v>19.18</v>
      </c>
      <c r="G35" s="4">
        <v>1000</v>
      </c>
      <c r="H35" s="4">
        <v>19180</v>
      </c>
      <c r="I35" s="4">
        <v>19154.87</v>
      </c>
      <c r="J35" s="4">
        <v>31291.69</v>
      </c>
      <c r="K35" s="4">
        <v>0</v>
      </c>
      <c r="L35" s="4" t="str">
        <f t="shared" si="3"/>
        <v>人民币</v>
      </c>
      <c r="M35" s="4" t="str">
        <f>"T4002325"</f>
        <v>T4002325</v>
      </c>
      <c r="N35" s="4" t="str">
        <f t="shared" si="31"/>
        <v>0149593788</v>
      </c>
      <c r="O35" s="4" t="str">
        <f t="shared" si="5"/>
        <v>300100052893</v>
      </c>
    </row>
    <row r="36" spans="1:15">
      <c r="A36" s="4" t="str">
        <f t="shared" si="29"/>
        <v>20171030</v>
      </c>
      <c r="B36" s="4" t="str">
        <f t="shared" si="30"/>
        <v>20171030</v>
      </c>
      <c r="C36" s="4" t="str">
        <f t="shared" ref="C36:C40" si="35">"证券买入"</f>
        <v>证券买入</v>
      </c>
      <c r="D36" s="4" t="str">
        <f>"000768"</f>
        <v>000768</v>
      </c>
      <c r="E36" s="4" t="str">
        <f>"中航飞机"</f>
        <v>中航飞机</v>
      </c>
      <c r="F36" s="4">
        <v>18.34</v>
      </c>
      <c r="G36" s="4">
        <v>1000</v>
      </c>
      <c r="H36" s="4">
        <v>18340</v>
      </c>
      <c r="I36" s="4">
        <v>-18345.69</v>
      </c>
      <c r="J36" s="4">
        <v>12946</v>
      </c>
      <c r="K36" s="4">
        <v>1000</v>
      </c>
      <c r="L36" s="4" t="str">
        <f t="shared" si="3"/>
        <v>人民币</v>
      </c>
      <c r="M36" s="4" t="str">
        <f>"T4003363"</f>
        <v>T4003363</v>
      </c>
      <c r="N36" s="4" t="str">
        <f t="shared" si="31"/>
        <v>0149593788</v>
      </c>
      <c r="O36" s="4" t="str">
        <f t="shared" si="5"/>
        <v>300100052893</v>
      </c>
    </row>
    <row r="37" spans="1:15">
      <c r="A37" s="4" t="str">
        <f t="shared" si="29"/>
        <v>20171030</v>
      </c>
      <c r="B37" s="4" t="str">
        <f t="shared" si="30"/>
        <v>20171030</v>
      </c>
      <c r="C37" s="4" t="str">
        <f t="shared" si="35"/>
        <v>证券买入</v>
      </c>
      <c r="D37" s="4" t="str">
        <f t="shared" si="33"/>
        <v>150153</v>
      </c>
      <c r="E37" s="4" t="str">
        <f t="shared" si="34"/>
        <v>创业板B</v>
      </c>
      <c r="F37" s="4">
        <v>0.647</v>
      </c>
      <c r="G37" s="4">
        <v>20000</v>
      </c>
      <c r="H37" s="4">
        <v>12940</v>
      </c>
      <c r="I37" s="4">
        <v>-12945</v>
      </c>
      <c r="J37" s="4">
        <v>1</v>
      </c>
      <c r="K37" s="4">
        <v>20000</v>
      </c>
      <c r="L37" s="4" t="str">
        <f t="shared" si="3"/>
        <v>人民币</v>
      </c>
      <c r="M37" s="4" t="str">
        <f>"T4003430"</f>
        <v>T4003430</v>
      </c>
      <c r="N37" s="4" t="str">
        <f t="shared" si="31"/>
        <v>0149593788</v>
      </c>
      <c r="O37" s="4" t="str">
        <f t="shared" si="5"/>
        <v>300100052893</v>
      </c>
    </row>
    <row r="38" spans="1:15">
      <c r="A38" s="4" t="str">
        <f t="shared" ref="A38:A40" si="36">"20171031"</f>
        <v>20171031</v>
      </c>
      <c r="B38" s="4" t="str">
        <f t="shared" ref="B38:B40" si="37">"20171031"</f>
        <v>20171031</v>
      </c>
      <c r="C38" s="4" t="str">
        <f>"基金赎回拨入"</f>
        <v>基金赎回拨入</v>
      </c>
      <c r="D38" s="4" t="str">
        <f>"AA0007"</f>
        <v>AA0007</v>
      </c>
      <c r="E38" s="4" t="str">
        <f>"银河水星1号集合"</f>
        <v>银河水星1号集合</v>
      </c>
      <c r="F38" s="4">
        <v>0</v>
      </c>
      <c r="G38" s="4">
        <v>3850</v>
      </c>
      <c r="H38" s="4">
        <v>0</v>
      </c>
      <c r="I38" s="4">
        <v>3850.14</v>
      </c>
      <c r="J38" s="4">
        <v>3851.14</v>
      </c>
      <c r="K38" s="4">
        <v>0</v>
      </c>
      <c r="L38" s="4" t="str">
        <f t="shared" si="3"/>
        <v>人民币</v>
      </c>
      <c r="N38" s="4" t="str">
        <f>"980149593788"</f>
        <v>980149593788</v>
      </c>
      <c r="O38" s="4" t="str">
        <f t="shared" si="5"/>
        <v>300100052893</v>
      </c>
    </row>
    <row r="39" spans="1:15">
      <c r="A39" s="4" t="str">
        <f t="shared" si="36"/>
        <v>20171031</v>
      </c>
      <c r="B39" s="4" t="str">
        <f t="shared" si="37"/>
        <v>20171031</v>
      </c>
      <c r="C39" s="4" t="str">
        <f t="shared" si="32"/>
        <v>证券卖出</v>
      </c>
      <c r="D39" s="4" t="str">
        <f t="shared" si="33"/>
        <v>150153</v>
      </c>
      <c r="E39" s="4" t="str">
        <f t="shared" si="34"/>
        <v>创业板B</v>
      </c>
      <c r="F39" s="4">
        <v>0.637</v>
      </c>
      <c r="G39" s="4">
        <v>20000</v>
      </c>
      <c r="H39" s="4">
        <v>12740</v>
      </c>
      <c r="I39" s="4">
        <v>12735</v>
      </c>
      <c r="J39" s="4">
        <v>16586.14</v>
      </c>
      <c r="K39" s="4">
        <v>0</v>
      </c>
      <c r="L39" s="4" t="str">
        <f t="shared" si="3"/>
        <v>人民币</v>
      </c>
      <c r="M39" s="4" t="str">
        <f>"T4002154"</f>
        <v>T4002154</v>
      </c>
      <c r="N39" s="4" t="str">
        <f t="shared" ref="N39:N43" si="38">"0149593788"</f>
        <v>0149593788</v>
      </c>
      <c r="O39" s="4" t="str">
        <f t="shared" si="5"/>
        <v>300100052893</v>
      </c>
    </row>
    <row r="40" spans="1:15">
      <c r="A40" s="4" t="str">
        <f t="shared" si="36"/>
        <v>20171031</v>
      </c>
      <c r="B40" s="4" t="str">
        <f t="shared" si="37"/>
        <v>20171031</v>
      </c>
      <c r="C40" s="4" t="str">
        <f t="shared" si="35"/>
        <v>证券买入</v>
      </c>
      <c r="D40" s="4" t="str">
        <f>"150182"</f>
        <v>150182</v>
      </c>
      <c r="E40" s="4" t="str">
        <f>"军工B"</f>
        <v>军工B</v>
      </c>
      <c r="F40" s="4">
        <v>0.829</v>
      </c>
      <c r="G40" s="4">
        <v>20000</v>
      </c>
      <c r="H40" s="4">
        <v>16580</v>
      </c>
      <c r="I40" s="4">
        <v>-16585.14</v>
      </c>
      <c r="J40" s="4">
        <v>1</v>
      </c>
      <c r="K40" s="4">
        <v>40000</v>
      </c>
      <c r="L40" s="4" t="str">
        <f t="shared" si="3"/>
        <v>人民币</v>
      </c>
      <c r="M40" s="4" t="str">
        <f>"T4006521"</f>
        <v>T4006521</v>
      </c>
      <c r="N40" s="4" t="str">
        <f t="shared" si="38"/>
        <v>0149593788</v>
      </c>
      <c r="O40" s="4" t="str">
        <f t="shared" si="5"/>
        <v>300100052893</v>
      </c>
    </row>
    <row r="41" spans="1:15">
      <c r="A41" s="4" t="str">
        <f t="shared" ref="A41:A43" si="39">"20171101"</f>
        <v>20171101</v>
      </c>
      <c r="B41" s="4" t="str">
        <f t="shared" ref="B41:B43" si="40">"20171101"</f>
        <v>20171101</v>
      </c>
      <c r="C41" s="4" t="str">
        <f>"基金申购拨出"</f>
        <v>基金申购拨出</v>
      </c>
      <c r="D41" s="4" t="str">
        <f>"AA0007"</f>
        <v>AA0007</v>
      </c>
      <c r="E41" s="4" t="str">
        <f>"银河水星1号集合"</f>
        <v>银河水星1号集合</v>
      </c>
      <c r="F41" s="4">
        <v>0</v>
      </c>
      <c r="G41" s="4">
        <v>0</v>
      </c>
      <c r="H41" s="4">
        <v>0</v>
      </c>
      <c r="I41" s="4">
        <v>-3889.8</v>
      </c>
      <c r="J41" s="4">
        <v>-3888.8</v>
      </c>
      <c r="K41" s="4">
        <v>0</v>
      </c>
      <c r="L41" s="4" t="str">
        <f t="shared" si="3"/>
        <v>人民币</v>
      </c>
      <c r="N41" s="4" t="str">
        <f>"980149593788"</f>
        <v>980149593788</v>
      </c>
      <c r="O41" s="4" t="str">
        <f t="shared" si="5"/>
        <v>300100052893</v>
      </c>
    </row>
    <row r="42" spans="1:15">
      <c r="A42" s="4" t="str">
        <f t="shared" si="39"/>
        <v>20171101</v>
      </c>
      <c r="B42" s="4" t="str">
        <f t="shared" si="40"/>
        <v>20171101</v>
      </c>
      <c r="C42" s="4" t="str">
        <f t="shared" ref="C42:C46" si="41">"证券卖出"</f>
        <v>证券卖出</v>
      </c>
      <c r="D42" s="4" t="str">
        <f>"150182"</f>
        <v>150182</v>
      </c>
      <c r="E42" s="4" t="str">
        <f>"军工B"</f>
        <v>军工B</v>
      </c>
      <c r="F42" s="4">
        <v>0.838</v>
      </c>
      <c r="G42" s="4">
        <v>20000</v>
      </c>
      <c r="H42" s="4">
        <v>16760</v>
      </c>
      <c r="I42" s="4">
        <v>16754.8</v>
      </c>
      <c r="J42" s="4">
        <v>12866</v>
      </c>
      <c r="K42" s="4">
        <v>20000</v>
      </c>
      <c r="L42" s="4" t="str">
        <f t="shared" si="3"/>
        <v>人民币</v>
      </c>
      <c r="M42" s="4" t="str">
        <f>"T4007282"</f>
        <v>T4007282</v>
      </c>
      <c r="N42" s="4" t="str">
        <f t="shared" si="38"/>
        <v>0149593788</v>
      </c>
      <c r="O42" s="4" t="str">
        <f t="shared" si="5"/>
        <v>300100052893</v>
      </c>
    </row>
    <row r="43" spans="1:15">
      <c r="A43" s="4" t="str">
        <f t="shared" si="39"/>
        <v>20171101</v>
      </c>
      <c r="B43" s="4" t="str">
        <f t="shared" si="40"/>
        <v>20171101</v>
      </c>
      <c r="C43" s="4" t="str">
        <f>"证券买入"</f>
        <v>证券买入</v>
      </c>
      <c r="D43" s="4" t="str">
        <f>"150153"</f>
        <v>150153</v>
      </c>
      <c r="E43" s="4" t="str">
        <f>"创业板B"</f>
        <v>创业板B</v>
      </c>
      <c r="F43" s="4">
        <v>0.643</v>
      </c>
      <c r="G43" s="4">
        <v>20000</v>
      </c>
      <c r="H43" s="4">
        <v>12860</v>
      </c>
      <c r="I43" s="4">
        <v>-12865</v>
      </c>
      <c r="J43" s="4">
        <v>1</v>
      </c>
      <c r="K43" s="4">
        <v>20000</v>
      </c>
      <c r="L43" s="4" t="str">
        <f t="shared" si="3"/>
        <v>人民币</v>
      </c>
      <c r="M43" s="4" t="str">
        <f>"T4010575"</f>
        <v>T4010575</v>
      </c>
      <c r="N43" s="4" t="str">
        <f t="shared" si="38"/>
        <v>0149593788</v>
      </c>
      <c r="O43" s="4" t="str">
        <f t="shared" si="5"/>
        <v>300100052893</v>
      </c>
    </row>
    <row r="44" spans="1:15">
      <c r="A44" s="4" t="str">
        <f t="shared" ref="A44:A47" si="42">"20171102"</f>
        <v>20171102</v>
      </c>
      <c r="B44" s="4" t="str">
        <f t="shared" ref="B44:B47" si="43">"20171102"</f>
        <v>20171102</v>
      </c>
      <c r="C44" s="4" t="str">
        <f>"基金申购拨出"</f>
        <v>基金申购拨出</v>
      </c>
      <c r="D44" s="4" t="str">
        <f>"AA0007"</f>
        <v>AA0007</v>
      </c>
      <c r="E44" s="4" t="str">
        <f>"银河水星1号集合"</f>
        <v>银河水星1号集合</v>
      </c>
      <c r="F44" s="4">
        <v>0</v>
      </c>
      <c r="G44" s="4">
        <v>0</v>
      </c>
      <c r="H44" s="4">
        <v>0</v>
      </c>
      <c r="I44" s="4">
        <v>-7993.97</v>
      </c>
      <c r="J44" s="4">
        <v>-7992.97</v>
      </c>
      <c r="K44" s="4">
        <v>0</v>
      </c>
      <c r="L44" s="4" t="str">
        <f t="shared" si="3"/>
        <v>人民币</v>
      </c>
      <c r="N44" s="4" t="str">
        <f>"980149593788"</f>
        <v>980149593788</v>
      </c>
      <c r="O44" s="4" t="str">
        <f t="shared" si="5"/>
        <v>300100052893</v>
      </c>
    </row>
    <row r="45" spans="1:15">
      <c r="A45" s="4" t="str">
        <f t="shared" si="42"/>
        <v>20171102</v>
      </c>
      <c r="B45" s="4" t="str">
        <f t="shared" si="43"/>
        <v>20171102</v>
      </c>
      <c r="C45" s="4" t="str">
        <f t="shared" si="41"/>
        <v>证券卖出</v>
      </c>
      <c r="D45" s="4" t="str">
        <f>"150153"</f>
        <v>150153</v>
      </c>
      <c r="E45" s="4" t="str">
        <f>"创业板B"</f>
        <v>创业板B</v>
      </c>
      <c r="F45" s="4">
        <v>0.63</v>
      </c>
      <c r="G45" s="4">
        <v>20000</v>
      </c>
      <c r="H45" s="4">
        <v>12600.6</v>
      </c>
      <c r="I45" s="4">
        <v>12595.6</v>
      </c>
      <c r="J45" s="4">
        <v>4602.63</v>
      </c>
      <c r="K45" s="4">
        <v>0</v>
      </c>
      <c r="L45" s="4" t="str">
        <f t="shared" si="3"/>
        <v>人民币</v>
      </c>
      <c r="M45" s="4" t="str">
        <f>"T4001599"</f>
        <v>T4001599</v>
      </c>
      <c r="N45" s="4" t="str">
        <f t="shared" ref="N45:N47" si="44">"0149593788"</f>
        <v>0149593788</v>
      </c>
      <c r="O45" s="4" t="str">
        <f t="shared" si="5"/>
        <v>300100052893</v>
      </c>
    </row>
    <row r="46" spans="1:15">
      <c r="A46" s="4" t="str">
        <f t="shared" si="42"/>
        <v>20171102</v>
      </c>
      <c r="B46" s="4" t="str">
        <f t="shared" si="43"/>
        <v>20171102</v>
      </c>
      <c r="C46" s="4" t="str">
        <f t="shared" si="41"/>
        <v>证券卖出</v>
      </c>
      <c r="D46" s="4" t="str">
        <f>"150182"</f>
        <v>150182</v>
      </c>
      <c r="E46" s="4" t="str">
        <f>"军工B"</f>
        <v>军工B</v>
      </c>
      <c r="F46" s="4">
        <v>0.823</v>
      </c>
      <c r="G46" s="4">
        <v>20000</v>
      </c>
      <c r="H46" s="4">
        <v>16460</v>
      </c>
      <c r="I46" s="4">
        <v>16454.9</v>
      </c>
      <c r="J46" s="4">
        <v>21057.53</v>
      </c>
      <c r="K46" s="4">
        <v>0</v>
      </c>
      <c r="L46" s="4" t="str">
        <f t="shared" si="3"/>
        <v>人民币</v>
      </c>
      <c r="M46" s="4" t="str">
        <f>"T4003132"</f>
        <v>T4003132</v>
      </c>
      <c r="N46" s="4" t="str">
        <f t="shared" si="44"/>
        <v>0149593788</v>
      </c>
      <c r="O46" s="4" t="str">
        <f t="shared" si="5"/>
        <v>300100052893</v>
      </c>
    </row>
    <row r="47" spans="1:15">
      <c r="A47" s="4" t="str">
        <f t="shared" si="42"/>
        <v>20171102</v>
      </c>
      <c r="B47" s="4" t="str">
        <f t="shared" si="43"/>
        <v>20171102</v>
      </c>
      <c r="C47" s="4" t="str">
        <f>"证券买入"</f>
        <v>证券买入</v>
      </c>
      <c r="D47" s="4" t="str">
        <f>"002183"</f>
        <v>002183</v>
      </c>
      <c r="E47" s="4" t="str">
        <f>"怡 亚 通"</f>
        <v>怡 亚 通</v>
      </c>
      <c r="F47" s="4">
        <v>8.42</v>
      </c>
      <c r="G47" s="4">
        <v>2500</v>
      </c>
      <c r="H47" s="4">
        <v>21050</v>
      </c>
      <c r="I47" s="4">
        <v>-21056.53</v>
      </c>
      <c r="J47" s="4">
        <v>1</v>
      </c>
      <c r="K47" s="4">
        <v>7500</v>
      </c>
      <c r="L47" s="4" t="str">
        <f t="shared" si="3"/>
        <v>人民币</v>
      </c>
      <c r="M47" s="4" t="str">
        <f>"T4015279"</f>
        <v>T4015279</v>
      </c>
      <c r="N47" s="4" t="str">
        <f t="shared" si="44"/>
        <v>0149593788</v>
      </c>
      <c r="O47" s="4" t="str">
        <f t="shared" si="5"/>
        <v>300100052893</v>
      </c>
    </row>
    <row r="48" spans="1:15">
      <c r="A48" s="4" t="str">
        <f>"20171103"</f>
        <v>20171103</v>
      </c>
      <c r="B48" s="4" t="str">
        <f>"20171103"</f>
        <v>20171103</v>
      </c>
      <c r="C48" s="4" t="str">
        <f>"基金申购拨出"</f>
        <v>基金申购拨出</v>
      </c>
      <c r="D48" s="4" t="str">
        <f t="shared" ref="D48:D52" si="45">"AA0007"</f>
        <v>AA0007</v>
      </c>
      <c r="E48" s="4" t="str">
        <f t="shared" ref="E48:E52" si="46">"银河水星1号集合"</f>
        <v>银河水星1号集合</v>
      </c>
      <c r="F48" s="4">
        <v>0</v>
      </c>
      <c r="G48" s="4">
        <v>0</v>
      </c>
      <c r="H48" s="4">
        <v>0</v>
      </c>
      <c r="I48" s="4">
        <v>-20872.62</v>
      </c>
      <c r="J48" s="4">
        <v>-20871.62</v>
      </c>
      <c r="K48" s="4">
        <v>0</v>
      </c>
      <c r="L48" s="4" t="str">
        <f t="shared" si="3"/>
        <v>人民币</v>
      </c>
      <c r="N48" s="4" t="str">
        <f t="shared" ref="N48:N52" si="47">"980149593788"</f>
        <v>980149593788</v>
      </c>
      <c r="O48" s="4" t="str">
        <f t="shared" si="5"/>
        <v>300100052893</v>
      </c>
    </row>
    <row r="49" spans="1:15">
      <c r="A49" s="4" t="str">
        <f>"20171103"</f>
        <v>20171103</v>
      </c>
      <c r="B49" s="4" t="str">
        <f>"20171103"</f>
        <v>20171103</v>
      </c>
      <c r="C49" s="4" t="str">
        <f>"证券卖出"</f>
        <v>证券卖出</v>
      </c>
      <c r="D49" s="4" t="str">
        <f>"002183"</f>
        <v>002183</v>
      </c>
      <c r="E49" s="4" t="str">
        <f>"怡 亚 通"</f>
        <v>怡 亚 通</v>
      </c>
      <c r="F49" s="4">
        <v>8.36</v>
      </c>
      <c r="G49" s="4">
        <v>2500</v>
      </c>
      <c r="H49" s="4">
        <v>20900</v>
      </c>
      <c r="I49" s="4">
        <v>20872.62</v>
      </c>
      <c r="J49" s="4">
        <v>1</v>
      </c>
      <c r="K49" s="4">
        <v>5000</v>
      </c>
      <c r="L49" s="4" t="str">
        <f t="shared" si="3"/>
        <v>人民币</v>
      </c>
      <c r="M49" s="4" t="str">
        <f>"T4001683"</f>
        <v>T4001683</v>
      </c>
      <c r="N49" s="4" t="str">
        <f t="shared" ref="N49:N53" si="48">"0149593788"</f>
        <v>0149593788</v>
      </c>
      <c r="O49" s="4" t="str">
        <f t="shared" si="5"/>
        <v>300100052893</v>
      </c>
    </row>
    <row r="50" spans="1:15">
      <c r="A50" s="4" t="str">
        <f>"20171108"</f>
        <v>20171108</v>
      </c>
      <c r="B50" s="4" t="str">
        <f t="shared" ref="B50:B53" si="49">"20171108"</f>
        <v>20171108</v>
      </c>
      <c r="C50" s="4" t="str">
        <f>"基金申购拨出"</f>
        <v>基金申购拨出</v>
      </c>
      <c r="D50" s="4" t="str">
        <f t="shared" si="45"/>
        <v>AA0007</v>
      </c>
      <c r="E50" s="4" t="str">
        <f t="shared" si="46"/>
        <v>银河水星1号集合</v>
      </c>
      <c r="F50" s="4">
        <v>0</v>
      </c>
      <c r="G50" s="4">
        <v>0</v>
      </c>
      <c r="H50" s="4">
        <v>0</v>
      </c>
      <c r="I50" s="4">
        <v>-18655.53</v>
      </c>
      <c r="J50" s="4">
        <v>-18654.53</v>
      </c>
      <c r="K50" s="4">
        <v>0</v>
      </c>
      <c r="L50" s="4" t="str">
        <f t="shared" si="3"/>
        <v>人民币</v>
      </c>
      <c r="N50" s="4" t="str">
        <f t="shared" si="47"/>
        <v>980149593788</v>
      </c>
      <c r="O50" s="4" t="str">
        <f t="shared" si="5"/>
        <v>300100052893</v>
      </c>
    </row>
    <row r="51" spans="1:15">
      <c r="A51" s="4" t="str">
        <f>"20171108"</f>
        <v>20171108</v>
      </c>
      <c r="B51" s="4" t="str">
        <f t="shared" si="49"/>
        <v>20171108</v>
      </c>
      <c r="C51" s="4" t="str">
        <f>"证券卖出"</f>
        <v>证券卖出</v>
      </c>
      <c r="D51" s="4" t="str">
        <f>"000768"</f>
        <v>000768</v>
      </c>
      <c r="E51" s="4" t="str">
        <f>"中航飞机"</f>
        <v>中航飞机</v>
      </c>
      <c r="F51" s="4">
        <v>18.68</v>
      </c>
      <c r="G51" s="4">
        <v>1000</v>
      </c>
      <c r="H51" s="4">
        <v>18680</v>
      </c>
      <c r="I51" s="4">
        <v>18655.53</v>
      </c>
      <c r="J51" s="4">
        <v>1</v>
      </c>
      <c r="K51" s="4">
        <v>0</v>
      </c>
      <c r="L51" s="4" t="str">
        <f t="shared" si="3"/>
        <v>人民币</v>
      </c>
      <c r="M51" s="4" t="str">
        <f>"T4003963"</f>
        <v>T4003963</v>
      </c>
      <c r="N51" s="4" t="str">
        <f t="shared" si="48"/>
        <v>0149593788</v>
      </c>
      <c r="O51" s="4" t="str">
        <f t="shared" si="5"/>
        <v>300100052893</v>
      </c>
    </row>
    <row r="52" spans="1:15">
      <c r="A52" s="4" t="str">
        <f>"20171110"</f>
        <v>20171110</v>
      </c>
      <c r="B52" s="4" t="str">
        <f>"20171110"</f>
        <v>20171110</v>
      </c>
      <c r="C52" s="4" t="str">
        <f>"基金赎回拨入"</f>
        <v>基金赎回拨入</v>
      </c>
      <c r="D52" s="4" t="str">
        <f t="shared" si="45"/>
        <v>AA0007</v>
      </c>
      <c r="E52" s="4" t="str">
        <f t="shared" si="46"/>
        <v>银河水星1号集合</v>
      </c>
      <c r="F52" s="4">
        <v>0</v>
      </c>
      <c r="G52" s="4">
        <v>999</v>
      </c>
      <c r="H52" s="4">
        <v>0</v>
      </c>
      <c r="I52" s="4">
        <v>999</v>
      </c>
      <c r="J52" s="4">
        <v>1000</v>
      </c>
      <c r="K52" s="4">
        <v>0</v>
      </c>
      <c r="L52" s="4" t="str">
        <f t="shared" si="3"/>
        <v>人民币</v>
      </c>
      <c r="N52" s="4" t="str">
        <f t="shared" si="47"/>
        <v>980149593788</v>
      </c>
      <c r="O52" s="4" t="str">
        <f t="shared" si="5"/>
        <v>300100052893</v>
      </c>
    </row>
    <row r="53" spans="1:15">
      <c r="A53" s="4" t="str">
        <f>"20171110"</f>
        <v>20171110</v>
      </c>
      <c r="B53" s="4" t="str">
        <f t="shared" si="49"/>
        <v>20171108</v>
      </c>
      <c r="C53" s="4" t="str">
        <f>"配售缴款"</f>
        <v>配售缴款</v>
      </c>
      <c r="D53" s="4" t="str">
        <f>"072318"</f>
        <v>072318</v>
      </c>
      <c r="E53" s="4" t="str">
        <f>"久立发债"</f>
        <v>久立发债</v>
      </c>
      <c r="F53" s="4">
        <v>100</v>
      </c>
      <c r="G53" s="4">
        <v>10</v>
      </c>
      <c r="H53" s="4">
        <v>1000</v>
      </c>
      <c r="I53" s="4">
        <v>-1000</v>
      </c>
      <c r="J53" s="4">
        <v>0</v>
      </c>
      <c r="K53" s="4">
        <v>0</v>
      </c>
      <c r="L53" s="4" t="str">
        <f t="shared" si="3"/>
        <v>人民币</v>
      </c>
      <c r="M53" s="4" t="str">
        <f>"T4000695"</f>
        <v>T4000695</v>
      </c>
      <c r="N53" s="4" t="str">
        <f t="shared" si="48"/>
        <v>0149593788</v>
      </c>
      <c r="O53" s="4" t="str">
        <f t="shared" si="5"/>
        <v>300100052893</v>
      </c>
    </row>
    <row r="54" spans="1:15">
      <c r="A54" s="4" t="str">
        <f t="shared" ref="A54:A57" si="50">"20171113"</f>
        <v>20171113</v>
      </c>
      <c r="B54" s="4" t="str">
        <f t="shared" ref="B54:B57" si="51">"20171113"</f>
        <v>20171113</v>
      </c>
      <c r="C54" s="4" t="str">
        <f>"基金赎回拨入"</f>
        <v>基金赎回拨入</v>
      </c>
      <c r="D54" s="4" t="str">
        <f>"AA0007"</f>
        <v>AA0007</v>
      </c>
      <c r="E54" s="4" t="str">
        <f>"银河水星1号集合"</f>
        <v>银河水星1号集合</v>
      </c>
      <c r="F54" s="4">
        <v>0</v>
      </c>
      <c r="G54" s="4">
        <v>31631</v>
      </c>
      <c r="H54" s="4">
        <v>0</v>
      </c>
      <c r="I54" s="4">
        <v>31631.67</v>
      </c>
      <c r="J54" s="4">
        <v>31631.67</v>
      </c>
      <c r="K54" s="4">
        <v>0</v>
      </c>
      <c r="L54" s="4" t="str">
        <f t="shared" si="3"/>
        <v>人民币</v>
      </c>
      <c r="N54" s="4" t="str">
        <f>"980149593788"</f>
        <v>980149593788</v>
      </c>
      <c r="O54" s="4" t="str">
        <f t="shared" si="5"/>
        <v>300100052893</v>
      </c>
    </row>
    <row r="55" spans="1:15">
      <c r="A55" s="4" t="str">
        <f t="shared" si="50"/>
        <v>20171113</v>
      </c>
      <c r="B55" s="4" t="str">
        <f>"20171108"</f>
        <v>20171108</v>
      </c>
      <c r="C55" s="4" t="str">
        <f>"配售股份"</f>
        <v>配售股份</v>
      </c>
      <c r="D55" s="4" t="str">
        <f>"072318"</f>
        <v>072318</v>
      </c>
      <c r="E55" s="4" t="str">
        <f>"久立发债"</f>
        <v>久立发债</v>
      </c>
      <c r="F55" s="4">
        <v>100</v>
      </c>
      <c r="G55" s="4">
        <v>10</v>
      </c>
      <c r="H55" s="4">
        <v>1000</v>
      </c>
      <c r="I55" s="4">
        <v>0</v>
      </c>
      <c r="J55" s="4">
        <v>31631.67</v>
      </c>
      <c r="K55" s="4">
        <v>10</v>
      </c>
      <c r="L55" s="4" t="str">
        <f t="shared" si="3"/>
        <v>人民币</v>
      </c>
      <c r="M55" s="4" t="str">
        <f>"T4000695"</f>
        <v>T4000695</v>
      </c>
      <c r="N55" s="4" t="str">
        <f t="shared" ref="N55:N57" si="52">"0149593788"</f>
        <v>0149593788</v>
      </c>
      <c r="O55" s="4" t="str">
        <f t="shared" si="5"/>
        <v>300100052893</v>
      </c>
    </row>
    <row r="56" spans="1:15">
      <c r="A56" s="4" t="str">
        <f t="shared" si="50"/>
        <v>20171113</v>
      </c>
      <c r="B56" s="4" t="str">
        <f t="shared" si="51"/>
        <v>20171113</v>
      </c>
      <c r="C56" s="4" t="str">
        <f t="shared" ref="C56:C61" si="53">"证券买入"</f>
        <v>证券买入</v>
      </c>
      <c r="D56" s="4" t="str">
        <f>"150153"</f>
        <v>150153</v>
      </c>
      <c r="E56" s="4" t="str">
        <f>"创业板B"</f>
        <v>创业板B</v>
      </c>
      <c r="F56" s="4">
        <v>0.666</v>
      </c>
      <c r="G56" s="4">
        <v>20000</v>
      </c>
      <c r="H56" s="4">
        <v>13320</v>
      </c>
      <c r="I56" s="4">
        <v>-13325</v>
      </c>
      <c r="J56" s="4">
        <v>18306.67</v>
      </c>
      <c r="K56" s="4">
        <v>20000</v>
      </c>
      <c r="L56" s="4" t="str">
        <f t="shared" si="3"/>
        <v>人民币</v>
      </c>
      <c r="M56" s="4" t="str">
        <f>"T4004896"</f>
        <v>T4004896</v>
      </c>
      <c r="N56" s="4" t="str">
        <f t="shared" si="52"/>
        <v>0149593788</v>
      </c>
      <c r="O56" s="4" t="str">
        <f t="shared" si="5"/>
        <v>300100052893</v>
      </c>
    </row>
    <row r="57" spans="1:15">
      <c r="A57" s="4" t="str">
        <f t="shared" si="50"/>
        <v>20171113</v>
      </c>
      <c r="B57" s="4" t="str">
        <f t="shared" si="51"/>
        <v>20171113</v>
      </c>
      <c r="C57" s="4" t="str">
        <f t="shared" si="53"/>
        <v>证券买入</v>
      </c>
      <c r="D57" s="4" t="str">
        <f>"000768"</f>
        <v>000768</v>
      </c>
      <c r="E57" s="4" t="str">
        <f>"中航飞机"</f>
        <v>中航飞机</v>
      </c>
      <c r="F57" s="4">
        <v>18.3</v>
      </c>
      <c r="G57" s="4">
        <v>1000</v>
      </c>
      <c r="H57" s="4">
        <v>18300</v>
      </c>
      <c r="I57" s="4">
        <v>-18305.67</v>
      </c>
      <c r="J57" s="4">
        <v>1</v>
      </c>
      <c r="K57" s="4">
        <v>1000</v>
      </c>
      <c r="L57" s="4" t="str">
        <f t="shared" si="3"/>
        <v>人民币</v>
      </c>
      <c r="M57" s="4" t="str">
        <f>"T4005019"</f>
        <v>T4005019</v>
      </c>
      <c r="N57" s="4" t="str">
        <f t="shared" si="52"/>
        <v>0149593788</v>
      </c>
      <c r="O57" s="4" t="str">
        <f t="shared" si="5"/>
        <v>300100052893</v>
      </c>
    </row>
    <row r="58" spans="1:15">
      <c r="A58" s="4" t="str">
        <f>"20171114"</f>
        <v>20171114</v>
      </c>
      <c r="B58" s="4" t="str">
        <f>"20171114"</f>
        <v>20171114</v>
      </c>
      <c r="C58" s="4" t="str">
        <f>"基金申购拨出"</f>
        <v>基金申购拨出</v>
      </c>
      <c r="D58" s="4" t="str">
        <f t="shared" ref="D58:D62" si="54">"AA0007"</f>
        <v>AA0007</v>
      </c>
      <c r="E58" s="4" t="str">
        <f t="shared" ref="E58:E62" si="55">"银河水星1号集合"</f>
        <v>银河水星1号集合</v>
      </c>
      <c r="F58" s="4">
        <v>0</v>
      </c>
      <c r="G58" s="4">
        <v>0</v>
      </c>
      <c r="H58" s="4">
        <v>0</v>
      </c>
      <c r="I58" s="4">
        <v>-18725.44</v>
      </c>
      <c r="J58" s="4">
        <v>-18724.44</v>
      </c>
      <c r="K58" s="4">
        <v>0</v>
      </c>
      <c r="L58" s="4" t="str">
        <f t="shared" si="3"/>
        <v>人民币</v>
      </c>
      <c r="N58" s="4" t="str">
        <f t="shared" ref="N58:N62" si="56">"980149593788"</f>
        <v>980149593788</v>
      </c>
      <c r="O58" s="4" t="str">
        <f t="shared" si="5"/>
        <v>300100052893</v>
      </c>
    </row>
    <row r="59" spans="1:15">
      <c r="A59" s="4" t="str">
        <f>"20171114"</f>
        <v>20171114</v>
      </c>
      <c r="B59" s="4" t="str">
        <f>"20171114"</f>
        <v>20171114</v>
      </c>
      <c r="C59" s="4" t="str">
        <f>"证券卖出"</f>
        <v>证券卖出</v>
      </c>
      <c r="D59" s="4" t="str">
        <f>"000768"</f>
        <v>000768</v>
      </c>
      <c r="E59" s="4" t="str">
        <f>"中航飞机"</f>
        <v>中航飞机</v>
      </c>
      <c r="F59" s="4">
        <v>18.75</v>
      </c>
      <c r="G59" s="4">
        <v>1000</v>
      </c>
      <c r="H59" s="4">
        <v>18750</v>
      </c>
      <c r="I59" s="4">
        <v>18725.44</v>
      </c>
      <c r="J59" s="4">
        <v>1</v>
      </c>
      <c r="K59" s="4">
        <v>0</v>
      </c>
      <c r="L59" s="4" t="str">
        <f t="shared" si="3"/>
        <v>人民币</v>
      </c>
      <c r="M59" s="4" t="str">
        <f>"T4006010"</f>
        <v>T4006010</v>
      </c>
      <c r="N59" s="4" t="str">
        <f t="shared" ref="N59:N63" si="57">"0149593788"</f>
        <v>0149593788</v>
      </c>
      <c r="O59" s="4" t="str">
        <f t="shared" si="5"/>
        <v>300100052893</v>
      </c>
    </row>
    <row r="60" spans="1:15">
      <c r="A60" s="4" t="str">
        <f>"20171115"</f>
        <v>20171115</v>
      </c>
      <c r="B60" s="4" t="str">
        <f>"20171115"</f>
        <v>20171115</v>
      </c>
      <c r="C60" s="4" t="str">
        <f t="shared" ref="C60:C64" si="58">"基金赎回拨入"</f>
        <v>基金赎回拨入</v>
      </c>
      <c r="D60" s="4" t="str">
        <f t="shared" si="54"/>
        <v>AA0007</v>
      </c>
      <c r="E60" s="4" t="str">
        <f t="shared" si="55"/>
        <v>银河水星1号集合</v>
      </c>
      <c r="F60" s="4">
        <v>0</v>
      </c>
      <c r="G60" s="4">
        <v>12745</v>
      </c>
      <c r="H60" s="4">
        <v>0</v>
      </c>
      <c r="I60" s="4">
        <v>12745</v>
      </c>
      <c r="J60" s="4">
        <v>12746</v>
      </c>
      <c r="K60" s="4">
        <v>0</v>
      </c>
      <c r="L60" s="4" t="str">
        <f t="shared" si="3"/>
        <v>人民币</v>
      </c>
      <c r="N60" s="4" t="str">
        <f t="shared" si="56"/>
        <v>980149593788</v>
      </c>
      <c r="O60" s="4" t="str">
        <f t="shared" si="5"/>
        <v>300100052893</v>
      </c>
    </row>
    <row r="61" spans="1:15">
      <c r="A61" s="4" t="str">
        <f>"20171115"</f>
        <v>20171115</v>
      </c>
      <c r="B61" s="4" t="str">
        <f>"20171115"</f>
        <v>20171115</v>
      </c>
      <c r="C61" s="4" t="str">
        <f t="shared" si="53"/>
        <v>证券买入</v>
      </c>
      <c r="D61" s="4" t="str">
        <f>"150153"</f>
        <v>150153</v>
      </c>
      <c r="E61" s="4" t="str">
        <f>"创业板B"</f>
        <v>创业板B</v>
      </c>
      <c r="F61" s="4">
        <v>0.637</v>
      </c>
      <c r="G61" s="4">
        <v>20000</v>
      </c>
      <c r="H61" s="4">
        <v>12740</v>
      </c>
      <c r="I61" s="4">
        <v>-12745</v>
      </c>
      <c r="J61" s="4">
        <v>1</v>
      </c>
      <c r="K61" s="4">
        <v>40000</v>
      </c>
      <c r="L61" s="4" t="str">
        <f t="shared" si="3"/>
        <v>人民币</v>
      </c>
      <c r="M61" s="4" t="str">
        <f>"T4007782"</f>
        <v>T4007782</v>
      </c>
      <c r="N61" s="4" t="str">
        <f t="shared" si="57"/>
        <v>0149593788</v>
      </c>
      <c r="O61" s="4" t="str">
        <f t="shared" si="5"/>
        <v>300100052893</v>
      </c>
    </row>
    <row r="62" spans="1:15">
      <c r="A62" s="4" t="str">
        <f>"20171116"</f>
        <v>20171116</v>
      </c>
      <c r="B62" s="4" t="str">
        <f>"20171116"</f>
        <v>20171116</v>
      </c>
      <c r="C62" s="4" t="str">
        <f t="shared" si="58"/>
        <v>基金赎回拨入</v>
      </c>
      <c r="D62" s="4" t="str">
        <f t="shared" si="54"/>
        <v>AA0007</v>
      </c>
      <c r="E62" s="4" t="str">
        <f t="shared" si="55"/>
        <v>银河水星1号集合</v>
      </c>
      <c r="F62" s="4">
        <v>0</v>
      </c>
      <c r="G62" s="4">
        <v>18035</v>
      </c>
      <c r="H62" s="4">
        <v>0</v>
      </c>
      <c r="I62" s="4">
        <v>18035.59</v>
      </c>
      <c r="J62" s="4">
        <v>18036.59</v>
      </c>
      <c r="K62" s="4">
        <v>0</v>
      </c>
      <c r="L62" s="4" t="str">
        <f t="shared" si="3"/>
        <v>人民币</v>
      </c>
      <c r="N62" s="4" t="str">
        <f t="shared" si="56"/>
        <v>980149593788</v>
      </c>
      <c r="O62" s="4" t="str">
        <f t="shared" si="5"/>
        <v>300100052893</v>
      </c>
    </row>
    <row r="63" spans="1:15">
      <c r="A63" s="4" t="str">
        <f>"20171116"</f>
        <v>20171116</v>
      </c>
      <c r="B63" s="4" t="str">
        <f>"20171116"</f>
        <v>20171116</v>
      </c>
      <c r="C63" s="4" t="str">
        <f>"证券买入"</f>
        <v>证券买入</v>
      </c>
      <c r="D63" s="4" t="str">
        <f>"000768"</f>
        <v>000768</v>
      </c>
      <c r="E63" s="4" t="str">
        <f>"中航飞机"</f>
        <v>中航飞机</v>
      </c>
      <c r="F63" s="4">
        <v>18.03</v>
      </c>
      <c r="G63" s="4">
        <v>1000</v>
      </c>
      <c r="H63" s="4">
        <v>18030</v>
      </c>
      <c r="I63" s="4">
        <v>-18035.59</v>
      </c>
      <c r="J63" s="4">
        <v>1</v>
      </c>
      <c r="K63" s="4">
        <v>1000</v>
      </c>
      <c r="L63" s="4" t="str">
        <f t="shared" si="3"/>
        <v>人民币</v>
      </c>
      <c r="M63" s="4" t="str">
        <f>"T4003568"</f>
        <v>T4003568</v>
      </c>
      <c r="N63" s="4" t="str">
        <f t="shared" si="57"/>
        <v>0149593788</v>
      </c>
      <c r="O63" s="4" t="str">
        <f t="shared" si="5"/>
        <v>300100052893</v>
      </c>
    </row>
    <row r="64" spans="1:15">
      <c r="A64" s="4" t="str">
        <f>"20171120"</f>
        <v>20171120</v>
      </c>
      <c r="B64" s="4" t="str">
        <f>"20171120"</f>
        <v>20171120</v>
      </c>
      <c r="C64" s="4" t="str">
        <f t="shared" si="58"/>
        <v>基金赎回拨入</v>
      </c>
      <c r="D64" s="4" t="str">
        <f t="shared" ref="D64:D69" si="59">"AA0007"</f>
        <v>AA0007</v>
      </c>
      <c r="E64" s="4" t="str">
        <f t="shared" ref="E64:E69" si="60">"银河水星1号集合"</f>
        <v>银河水星1号集合</v>
      </c>
      <c r="F64" s="4">
        <v>0</v>
      </c>
      <c r="G64" s="4">
        <v>22176</v>
      </c>
      <c r="H64" s="4">
        <v>0</v>
      </c>
      <c r="I64" s="4">
        <v>22176.87</v>
      </c>
      <c r="J64" s="4">
        <v>22177.87</v>
      </c>
      <c r="K64" s="4">
        <v>0</v>
      </c>
      <c r="L64" s="4" t="str">
        <f t="shared" si="3"/>
        <v>人民币</v>
      </c>
      <c r="N64" s="4" t="str">
        <f t="shared" ref="N64:N69" si="61">"980149593788"</f>
        <v>980149593788</v>
      </c>
      <c r="O64" s="4" t="str">
        <f t="shared" si="5"/>
        <v>300100052893</v>
      </c>
    </row>
    <row r="65" spans="1:15">
      <c r="A65" s="4" t="str">
        <f>"20171120"</f>
        <v>20171120</v>
      </c>
      <c r="B65" s="4" t="str">
        <f>"20171120"</f>
        <v>20171120</v>
      </c>
      <c r="C65" s="4" t="str">
        <f>"证券买入"</f>
        <v>证券买入</v>
      </c>
      <c r="D65" s="4" t="str">
        <f>"000601"</f>
        <v>000601</v>
      </c>
      <c r="E65" s="4" t="str">
        <f>"韶能股份"</f>
        <v>韶能股份</v>
      </c>
      <c r="F65" s="4">
        <v>7.39</v>
      </c>
      <c r="G65" s="4">
        <v>3000</v>
      </c>
      <c r="H65" s="4">
        <v>22170</v>
      </c>
      <c r="I65" s="4">
        <v>-22176.87</v>
      </c>
      <c r="J65" s="4">
        <v>1</v>
      </c>
      <c r="K65" s="4">
        <v>25200</v>
      </c>
      <c r="L65" s="4" t="str">
        <f t="shared" si="3"/>
        <v>人民币</v>
      </c>
      <c r="M65" s="4" t="str">
        <f>"T4002359"</f>
        <v>T4002359</v>
      </c>
      <c r="N65" s="4" t="str">
        <f t="shared" ref="N65:N68" si="62">"0149593788"</f>
        <v>0149593788</v>
      </c>
      <c r="O65" s="4" t="str">
        <f t="shared" si="5"/>
        <v>300100052893</v>
      </c>
    </row>
    <row r="66" spans="1:15">
      <c r="A66" s="4" t="str">
        <f t="shared" ref="A66:A68" si="63">"20171121"</f>
        <v>20171121</v>
      </c>
      <c r="B66" s="4" t="str">
        <f>"20171121"</f>
        <v>20171121</v>
      </c>
      <c r="C66" s="4" t="str">
        <f>"基金申购拨出"</f>
        <v>基金申购拨出</v>
      </c>
      <c r="D66" s="4" t="str">
        <f t="shared" si="59"/>
        <v>AA0007</v>
      </c>
      <c r="E66" s="4" t="str">
        <f t="shared" si="60"/>
        <v>银河水星1号集合</v>
      </c>
      <c r="F66" s="4">
        <v>0</v>
      </c>
      <c r="G66" s="4">
        <v>0</v>
      </c>
      <c r="H66" s="4">
        <v>0</v>
      </c>
      <c r="I66" s="4">
        <v>-22530.45</v>
      </c>
      <c r="J66" s="4">
        <v>-22529.45</v>
      </c>
      <c r="K66" s="4">
        <v>0</v>
      </c>
      <c r="L66" s="4" t="str">
        <f t="shared" ref="L66:L119" si="64">"人民币"</f>
        <v>人民币</v>
      </c>
      <c r="N66" s="4" t="str">
        <f t="shared" si="61"/>
        <v>980149593788</v>
      </c>
      <c r="O66" s="4" t="str">
        <f t="shared" ref="O66:O119" si="65">"300100052893"</f>
        <v>300100052893</v>
      </c>
    </row>
    <row r="67" spans="1:15">
      <c r="A67" s="4" t="str">
        <f t="shared" si="63"/>
        <v>20171121</v>
      </c>
      <c r="B67" s="4" t="str">
        <f>"20171108"</f>
        <v>20171108</v>
      </c>
      <c r="C67" s="4" t="str">
        <f>"新股入帐"</f>
        <v>新股入帐</v>
      </c>
      <c r="D67" s="4" t="str">
        <f>"128019"</f>
        <v>128019</v>
      </c>
      <c r="E67" s="4" t="str">
        <f>"新代码"</f>
        <v>新代码</v>
      </c>
      <c r="F67" s="4">
        <v>0</v>
      </c>
      <c r="G67" s="4">
        <v>10</v>
      </c>
      <c r="H67" s="4">
        <v>0</v>
      </c>
      <c r="I67" s="4">
        <v>0</v>
      </c>
      <c r="J67" s="4">
        <v>-22529.45</v>
      </c>
      <c r="K67" s="4">
        <v>10</v>
      </c>
      <c r="L67" s="4" t="str">
        <f t="shared" si="64"/>
        <v>人民币</v>
      </c>
      <c r="N67" s="4" t="str">
        <f t="shared" si="62"/>
        <v>0149593788</v>
      </c>
      <c r="O67" s="4" t="str">
        <f t="shared" si="65"/>
        <v>300100052893</v>
      </c>
    </row>
    <row r="68" spans="1:15">
      <c r="A68" s="4" t="str">
        <f t="shared" si="63"/>
        <v>20171121</v>
      </c>
      <c r="B68" s="4" t="str">
        <f>"20171121"</f>
        <v>20171121</v>
      </c>
      <c r="C68" s="4" t="str">
        <f t="shared" ref="C68:C73" si="66">"证券卖出"</f>
        <v>证券卖出</v>
      </c>
      <c r="D68" s="4" t="str">
        <f>"000601"</f>
        <v>000601</v>
      </c>
      <c r="E68" s="4" t="str">
        <f>"韶能股份"</f>
        <v>韶能股份</v>
      </c>
      <c r="F68" s="4">
        <v>7.52</v>
      </c>
      <c r="G68" s="4">
        <v>3000</v>
      </c>
      <c r="H68" s="4">
        <v>22560</v>
      </c>
      <c r="I68" s="4">
        <v>22530.45</v>
      </c>
      <c r="J68" s="4">
        <v>1</v>
      </c>
      <c r="K68" s="4">
        <v>22200</v>
      </c>
      <c r="L68" s="4" t="str">
        <f t="shared" si="64"/>
        <v>人民币</v>
      </c>
      <c r="M68" s="4" t="str">
        <f>"T4002389"</f>
        <v>T4002389</v>
      </c>
      <c r="N68" s="4" t="str">
        <f t="shared" si="62"/>
        <v>0149593788</v>
      </c>
      <c r="O68" s="4" t="str">
        <f t="shared" si="65"/>
        <v>300100052893</v>
      </c>
    </row>
    <row r="69" spans="1:15">
      <c r="A69" s="4" t="str">
        <f>"20171123"</f>
        <v>20171123</v>
      </c>
      <c r="B69" s="4" t="str">
        <f>"20171123"</f>
        <v>20171123</v>
      </c>
      <c r="C69" s="4" t="str">
        <f>"基金赎回拨入"</f>
        <v>基金赎回拨入</v>
      </c>
      <c r="D69" s="4" t="str">
        <f t="shared" si="59"/>
        <v>AA0007</v>
      </c>
      <c r="E69" s="4" t="str">
        <f t="shared" si="60"/>
        <v>银河水星1号集合</v>
      </c>
      <c r="F69" s="4">
        <v>0</v>
      </c>
      <c r="G69" s="4">
        <v>10305</v>
      </c>
      <c r="H69" s="4">
        <v>0</v>
      </c>
      <c r="I69" s="4">
        <v>10305</v>
      </c>
      <c r="J69" s="4">
        <v>10306</v>
      </c>
      <c r="K69" s="4">
        <v>0</v>
      </c>
      <c r="L69" s="4" t="str">
        <f t="shared" si="64"/>
        <v>人民币</v>
      </c>
      <c r="N69" s="4" t="str">
        <f t="shared" si="61"/>
        <v>980149593788</v>
      </c>
      <c r="O69" s="4" t="str">
        <f t="shared" si="65"/>
        <v>300100052893</v>
      </c>
    </row>
    <row r="70" spans="1:15">
      <c r="A70" s="4" t="str">
        <f>"20171123"</f>
        <v>20171123</v>
      </c>
      <c r="B70" s="4" t="str">
        <f>"20171123"</f>
        <v>20171123</v>
      </c>
      <c r="C70" s="4" t="str">
        <f>"证券买入"</f>
        <v>证券买入</v>
      </c>
      <c r="D70" s="4" t="str">
        <f>"150201"</f>
        <v>150201</v>
      </c>
      <c r="E70" s="4" t="str">
        <f>"券商B"</f>
        <v>券商B</v>
      </c>
      <c r="F70" s="4">
        <v>0.515</v>
      </c>
      <c r="G70" s="4">
        <v>20000</v>
      </c>
      <c r="H70" s="4">
        <v>10300</v>
      </c>
      <c r="I70" s="4">
        <v>-10305</v>
      </c>
      <c r="J70" s="4">
        <v>1</v>
      </c>
      <c r="K70" s="4">
        <v>20000</v>
      </c>
      <c r="L70" s="4" t="str">
        <f t="shared" si="64"/>
        <v>人民币</v>
      </c>
      <c r="M70" s="4" t="str">
        <f>"T4003350"</f>
        <v>T4003350</v>
      </c>
      <c r="N70" s="4" t="str">
        <f t="shared" ref="N70:N75" si="67">"0149593788"</f>
        <v>0149593788</v>
      </c>
      <c r="O70" s="4" t="str">
        <f t="shared" si="65"/>
        <v>300100052893</v>
      </c>
    </row>
    <row r="71" spans="1:15">
      <c r="A71" s="4" t="str">
        <f t="shared" ref="A71:A75" si="68">"20171201"</f>
        <v>20171201</v>
      </c>
      <c r="B71" s="4" t="str">
        <f t="shared" ref="B71:B75" si="69">"20171201"</f>
        <v>20171201</v>
      </c>
      <c r="C71" s="4" t="str">
        <f>"基金申购拨出"</f>
        <v>基金申购拨出</v>
      </c>
      <c r="D71" s="4" t="str">
        <f>"AA0007"</f>
        <v>AA0007</v>
      </c>
      <c r="E71" s="4" t="str">
        <f>"银河水星1号集合"</f>
        <v>银河水星1号集合</v>
      </c>
      <c r="F71" s="4">
        <v>0</v>
      </c>
      <c r="G71" s="4">
        <v>0</v>
      </c>
      <c r="H71" s="4">
        <v>0</v>
      </c>
      <c r="I71" s="4">
        <v>-7104.09</v>
      </c>
      <c r="J71" s="4">
        <v>-7103.09</v>
      </c>
      <c r="K71" s="4">
        <v>0</v>
      </c>
      <c r="L71" s="4" t="str">
        <f t="shared" si="64"/>
        <v>人民币</v>
      </c>
      <c r="N71" s="4" t="str">
        <f>"980149593788"</f>
        <v>980149593788</v>
      </c>
      <c r="O71" s="4" t="str">
        <f t="shared" si="65"/>
        <v>300100052893</v>
      </c>
    </row>
    <row r="72" spans="1:15">
      <c r="A72" s="4" t="str">
        <f t="shared" si="68"/>
        <v>20171201</v>
      </c>
      <c r="B72" s="4" t="str">
        <f t="shared" si="69"/>
        <v>20171201</v>
      </c>
      <c r="C72" s="4" t="str">
        <f t="shared" si="66"/>
        <v>证券卖出</v>
      </c>
      <c r="D72" s="4" t="str">
        <f>"128019"</f>
        <v>128019</v>
      </c>
      <c r="E72" s="4" t="str">
        <f>"久立转2"</f>
        <v>久立转2</v>
      </c>
      <c r="F72" s="4">
        <v>101.01</v>
      </c>
      <c r="G72" s="4">
        <v>10</v>
      </c>
      <c r="H72" s="4">
        <v>1010.1</v>
      </c>
      <c r="I72" s="4">
        <v>1009.09</v>
      </c>
      <c r="J72" s="4">
        <v>-6094</v>
      </c>
      <c r="K72" s="4">
        <v>0</v>
      </c>
      <c r="L72" s="4" t="str">
        <f t="shared" si="64"/>
        <v>人民币</v>
      </c>
      <c r="M72" s="4" t="str">
        <f>"T4000862"</f>
        <v>T4000862</v>
      </c>
      <c r="N72" s="4" t="str">
        <f t="shared" si="67"/>
        <v>0149593788</v>
      </c>
      <c r="O72" s="4" t="str">
        <f t="shared" si="65"/>
        <v>300100052893</v>
      </c>
    </row>
    <row r="73" spans="1:15">
      <c r="A73" s="4" t="str">
        <f t="shared" si="68"/>
        <v>20171201</v>
      </c>
      <c r="B73" s="4" t="str">
        <f t="shared" si="69"/>
        <v>20171201</v>
      </c>
      <c r="C73" s="4" t="str">
        <f t="shared" si="66"/>
        <v>证券卖出</v>
      </c>
      <c r="D73" s="4" t="str">
        <f>"162411"</f>
        <v>162411</v>
      </c>
      <c r="E73" s="4" t="str">
        <f>"华宝油气"</f>
        <v>华宝油气</v>
      </c>
      <c r="F73" s="4">
        <v>0.579</v>
      </c>
      <c r="G73" s="4">
        <v>10000</v>
      </c>
      <c r="H73" s="4">
        <v>5790</v>
      </c>
      <c r="I73" s="4">
        <v>5785</v>
      </c>
      <c r="J73" s="4">
        <v>-309</v>
      </c>
      <c r="K73" s="4">
        <v>0</v>
      </c>
      <c r="L73" s="4" t="str">
        <f t="shared" si="64"/>
        <v>人民币</v>
      </c>
      <c r="M73" s="4" t="str">
        <f>"T4001048"</f>
        <v>T4001048</v>
      </c>
      <c r="N73" s="4" t="str">
        <f t="shared" si="67"/>
        <v>0149593788</v>
      </c>
      <c r="O73" s="4" t="str">
        <f t="shared" si="65"/>
        <v>300100052893</v>
      </c>
    </row>
    <row r="74" spans="1:15">
      <c r="A74" s="4" t="str">
        <f t="shared" si="68"/>
        <v>20171201</v>
      </c>
      <c r="B74" s="4" t="str">
        <f t="shared" si="69"/>
        <v>20171201</v>
      </c>
      <c r="C74" s="4" t="str">
        <f>"证券买入"</f>
        <v>证券买入</v>
      </c>
      <c r="D74" s="4" t="str">
        <f t="shared" ref="D74:D78" si="70">"150153"</f>
        <v>150153</v>
      </c>
      <c r="E74" s="4" t="str">
        <f t="shared" ref="E74:E78" si="71">"创业板B"</f>
        <v>创业板B</v>
      </c>
      <c r="F74" s="4">
        <v>0.588</v>
      </c>
      <c r="G74" s="4">
        <v>20000</v>
      </c>
      <c r="H74" s="4">
        <v>11760</v>
      </c>
      <c r="I74" s="4">
        <v>-11765</v>
      </c>
      <c r="J74" s="4">
        <v>-12074</v>
      </c>
      <c r="K74" s="4">
        <v>60000</v>
      </c>
      <c r="L74" s="4" t="str">
        <f t="shared" si="64"/>
        <v>人民币</v>
      </c>
      <c r="M74" s="4" t="str">
        <f>"T4001930"</f>
        <v>T4001930</v>
      </c>
      <c r="N74" s="4" t="str">
        <f t="shared" si="67"/>
        <v>0149593788</v>
      </c>
      <c r="O74" s="4" t="str">
        <f t="shared" si="65"/>
        <v>300100052893</v>
      </c>
    </row>
    <row r="75" spans="1:15">
      <c r="A75" s="4" t="str">
        <f t="shared" si="68"/>
        <v>20171201</v>
      </c>
      <c r="B75" s="4" t="str">
        <f t="shared" si="69"/>
        <v>20171201</v>
      </c>
      <c r="C75" s="4" t="str">
        <f>"证券卖出"</f>
        <v>证券卖出</v>
      </c>
      <c r="D75" s="4" t="str">
        <f t="shared" si="70"/>
        <v>150153</v>
      </c>
      <c r="E75" s="4" t="str">
        <f t="shared" si="71"/>
        <v>创业板B</v>
      </c>
      <c r="F75" s="4">
        <v>0.604</v>
      </c>
      <c r="G75" s="4">
        <v>20000</v>
      </c>
      <c r="H75" s="4">
        <v>12080</v>
      </c>
      <c r="I75" s="4">
        <v>12075</v>
      </c>
      <c r="J75" s="4">
        <v>1</v>
      </c>
      <c r="K75" s="4">
        <v>40000</v>
      </c>
      <c r="L75" s="4" t="str">
        <f t="shared" si="64"/>
        <v>人民币</v>
      </c>
      <c r="M75" s="4" t="str">
        <f>"T4003368"</f>
        <v>T4003368</v>
      </c>
      <c r="N75" s="4" t="str">
        <f t="shared" si="67"/>
        <v>0149593788</v>
      </c>
      <c r="O75" s="4" t="str">
        <f t="shared" si="65"/>
        <v>300100052893</v>
      </c>
    </row>
    <row r="76" spans="1:15">
      <c r="A76" s="4" t="str">
        <f t="shared" ref="A76:A78" si="72">"20171204"</f>
        <v>20171204</v>
      </c>
      <c r="B76" s="4" t="str">
        <f t="shared" ref="B76:B78" si="73">"20171204"</f>
        <v>20171204</v>
      </c>
      <c r="C76" s="4" t="str">
        <f>"基金赎回拨入"</f>
        <v>基金赎回拨入</v>
      </c>
      <c r="D76" s="4" t="str">
        <f>"AA0007"</f>
        <v>AA0007</v>
      </c>
      <c r="E76" s="4" t="str">
        <f>"银河水星1号集合"</f>
        <v>银河水星1号集合</v>
      </c>
      <c r="F76" s="4">
        <v>0</v>
      </c>
      <c r="G76" s="4">
        <v>70</v>
      </c>
      <c r="H76" s="4">
        <v>0</v>
      </c>
      <c r="I76" s="4">
        <v>70</v>
      </c>
      <c r="J76" s="4">
        <v>71</v>
      </c>
      <c r="K76" s="4">
        <v>0</v>
      </c>
      <c r="L76" s="4" t="str">
        <f t="shared" si="64"/>
        <v>人民币</v>
      </c>
      <c r="N76" s="4" t="str">
        <f>"980149593788"</f>
        <v>980149593788</v>
      </c>
      <c r="O76" s="4" t="str">
        <f t="shared" si="65"/>
        <v>300100052893</v>
      </c>
    </row>
    <row r="77" spans="1:15">
      <c r="A77" s="4" t="str">
        <f t="shared" si="72"/>
        <v>20171204</v>
      </c>
      <c r="B77" s="4" t="str">
        <f t="shared" si="73"/>
        <v>20171204</v>
      </c>
      <c r="C77" s="4" t="str">
        <f>"证券买入"</f>
        <v>证券买入</v>
      </c>
      <c r="D77" s="4" t="str">
        <f t="shared" si="70"/>
        <v>150153</v>
      </c>
      <c r="E77" s="4" t="str">
        <f t="shared" si="71"/>
        <v>创业板B</v>
      </c>
      <c r="F77" s="4">
        <v>0.599</v>
      </c>
      <c r="G77" s="4">
        <v>20000</v>
      </c>
      <c r="H77" s="4">
        <v>11980</v>
      </c>
      <c r="I77" s="4">
        <v>-11985</v>
      </c>
      <c r="J77" s="4">
        <v>-11914</v>
      </c>
      <c r="K77" s="4">
        <v>60000</v>
      </c>
      <c r="L77" s="4" t="str">
        <f t="shared" si="64"/>
        <v>人民币</v>
      </c>
      <c r="M77" s="4" t="str">
        <f>"T4002773"</f>
        <v>T4002773</v>
      </c>
      <c r="N77" s="4" t="str">
        <f t="shared" ref="N77:N79" si="74">"0149593788"</f>
        <v>0149593788</v>
      </c>
      <c r="O77" s="4" t="str">
        <f t="shared" si="65"/>
        <v>300100052893</v>
      </c>
    </row>
    <row r="78" spans="1:15">
      <c r="A78" s="4" t="str">
        <f t="shared" si="72"/>
        <v>20171204</v>
      </c>
      <c r="B78" s="4" t="str">
        <f t="shared" si="73"/>
        <v>20171204</v>
      </c>
      <c r="C78" s="4" t="str">
        <f>"证券卖出"</f>
        <v>证券卖出</v>
      </c>
      <c r="D78" s="4" t="str">
        <f t="shared" si="70"/>
        <v>150153</v>
      </c>
      <c r="E78" s="4" t="str">
        <f t="shared" si="71"/>
        <v>创业板B</v>
      </c>
      <c r="F78" s="4">
        <v>0.596</v>
      </c>
      <c r="G78" s="4">
        <v>20000</v>
      </c>
      <c r="H78" s="4">
        <v>11920</v>
      </c>
      <c r="I78" s="4">
        <v>11915</v>
      </c>
      <c r="J78" s="4">
        <v>1</v>
      </c>
      <c r="K78" s="4">
        <v>40000</v>
      </c>
      <c r="L78" s="4" t="str">
        <f t="shared" si="64"/>
        <v>人民币</v>
      </c>
      <c r="M78" s="4" t="str">
        <f>"T4003489"</f>
        <v>T4003489</v>
      </c>
      <c r="N78" s="4" t="str">
        <f t="shared" si="74"/>
        <v>0149593788</v>
      </c>
      <c r="O78" s="4" t="str">
        <f t="shared" si="65"/>
        <v>300100052893</v>
      </c>
    </row>
    <row r="79" spans="1:15">
      <c r="A79" s="4" t="str">
        <f>"20171205"</f>
        <v>20171205</v>
      </c>
      <c r="B79" s="4" t="str">
        <f>"20171205"</f>
        <v>20171205</v>
      </c>
      <c r="C79" s="4" t="str">
        <f>"删除过期证券"</f>
        <v>删除过期证券</v>
      </c>
      <c r="D79" s="4" t="str">
        <f>"072318"</f>
        <v>072318</v>
      </c>
      <c r="E79" s="4" t="str">
        <f>"久立发债"</f>
        <v>久立发债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  <c r="K79" s="4">
        <v>0</v>
      </c>
      <c r="L79" s="4" t="str">
        <f t="shared" si="64"/>
        <v>人民币</v>
      </c>
      <c r="N79" s="4" t="str">
        <f t="shared" si="74"/>
        <v>0149593788</v>
      </c>
      <c r="O79" s="4" t="str">
        <f t="shared" si="65"/>
        <v>300100052893</v>
      </c>
    </row>
    <row r="80" spans="1:15">
      <c r="A80" s="4" t="str">
        <f>"20171206"</f>
        <v>20171206</v>
      </c>
      <c r="B80" s="4" t="str">
        <f>"20171206"</f>
        <v>20171206</v>
      </c>
      <c r="C80" s="4" t="str">
        <f>"基金赎回拨入"</f>
        <v>基金赎回拨入</v>
      </c>
      <c r="D80" s="4" t="str">
        <f>"AA0007"</f>
        <v>AA0007</v>
      </c>
      <c r="E80" s="4" t="str">
        <f>"银河水星1号集合"</f>
        <v>银河水星1号集合</v>
      </c>
      <c r="F80" s="4">
        <v>0</v>
      </c>
      <c r="G80" s="4">
        <v>999</v>
      </c>
      <c r="H80" s="4">
        <v>0</v>
      </c>
      <c r="I80" s="4">
        <v>999</v>
      </c>
      <c r="J80" s="4">
        <v>1000</v>
      </c>
      <c r="K80" s="4">
        <v>0</v>
      </c>
      <c r="L80" s="4" t="str">
        <f t="shared" si="64"/>
        <v>人民币</v>
      </c>
      <c r="N80" s="4" t="str">
        <f>"980149593788"</f>
        <v>980149593788</v>
      </c>
      <c r="O80" s="4" t="str">
        <f t="shared" si="65"/>
        <v>300100052893</v>
      </c>
    </row>
    <row r="81" spans="1:15">
      <c r="A81" s="4" t="str">
        <f>"20171206"</f>
        <v>20171206</v>
      </c>
      <c r="B81" s="4" t="str">
        <f>"20171204"</f>
        <v>20171204</v>
      </c>
      <c r="C81" s="4" t="str">
        <f t="shared" ref="C81:C86" si="75">"配售缴款"</f>
        <v>配售缴款</v>
      </c>
      <c r="D81" s="4" t="str">
        <f>"072284"</f>
        <v>072284</v>
      </c>
      <c r="E81" s="4" t="str">
        <f>"亚太发债"</f>
        <v>亚太发债</v>
      </c>
      <c r="F81" s="4">
        <v>100</v>
      </c>
      <c r="G81" s="4">
        <v>10</v>
      </c>
      <c r="H81" s="4">
        <v>1000</v>
      </c>
      <c r="I81" s="4">
        <v>-1000</v>
      </c>
      <c r="J81" s="4">
        <v>0</v>
      </c>
      <c r="K81" s="4">
        <v>0</v>
      </c>
      <c r="L81" s="4" t="str">
        <f t="shared" si="64"/>
        <v>人民币</v>
      </c>
      <c r="M81" s="4" t="str">
        <f>"T4002781"</f>
        <v>T4002781</v>
      </c>
      <c r="N81" s="4" t="str">
        <f t="shared" ref="N81:N84" si="76">"0149593788"</f>
        <v>0149593788</v>
      </c>
      <c r="O81" s="4" t="str">
        <f t="shared" si="65"/>
        <v>300100052893</v>
      </c>
    </row>
    <row r="82" spans="1:15">
      <c r="A82" s="4" t="str">
        <f t="shared" ref="A82:A86" si="77">"20171207"</f>
        <v>20171207</v>
      </c>
      <c r="B82" s="4" t="str">
        <f>"20171207"</f>
        <v>20171207</v>
      </c>
      <c r="C82" s="4" t="str">
        <f>"基金赎回拨入"</f>
        <v>基金赎回拨入</v>
      </c>
      <c r="D82" s="4" t="str">
        <f>"AA0007"</f>
        <v>AA0007</v>
      </c>
      <c r="E82" s="4" t="str">
        <f>"银河水星1号集合"</f>
        <v>银河水星1号集合</v>
      </c>
      <c r="F82" s="4">
        <v>0</v>
      </c>
      <c r="G82" s="4">
        <v>15076</v>
      </c>
      <c r="H82" s="4">
        <v>0</v>
      </c>
      <c r="I82" s="4">
        <v>15076</v>
      </c>
      <c r="J82" s="4">
        <v>15076</v>
      </c>
      <c r="K82" s="4">
        <v>0</v>
      </c>
      <c r="L82" s="4" t="str">
        <f t="shared" si="64"/>
        <v>人民币</v>
      </c>
      <c r="N82" s="4" t="str">
        <f>"980149593788"</f>
        <v>980149593788</v>
      </c>
      <c r="O82" s="4" t="str">
        <f t="shared" si="65"/>
        <v>300100052893</v>
      </c>
    </row>
    <row r="83" spans="1:15">
      <c r="A83" s="4" t="str">
        <f t="shared" si="77"/>
        <v>20171207</v>
      </c>
      <c r="B83" s="4" t="str">
        <f>"20171204"</f>
        <v>20171204</v>
      </c>
      <c r="C83" s="4" t="str">
        <f>"配售股份"</f>
        <v>配售股份</v>
      </c>
      <c r="D83" s="4" t="str">
        <f>"072284"</f>
        <v>072284</v>
      </c>
      <c r="E83" s="4" t="str">
        <f>"亚太发债"</f>
        <v>亚太发债</v>
      </c>
      <c r="F83" s="4">
        <v>100</v>
      </c>
      <c r="G83" s="4">
        <v>10</v>
      </c>
      <c r="H83" s="4">
        <v>1000</v>
      </c>
      <c r="I83" s="4">
        <v>0</v>
      </c>
      <c r="J83" s="4">
        <v>15076</v>
      </c>
      <c r="K83" s="4">
        <v>10</v>
      </c>
      <c r="L83" s="4" t="str">
        <f t="shared" si="64"/>
        <v>人民币</v>
      </c>
      <c r="M83" s="4" t="str">
        <f>"T4002781"</f>
        <v>T4002781</v>
      </c>
      <c r="N83" s="4" t="str">
        <f t="shared" si="76"/>
        <v>0149593788</v>
      </c>
      <c r="O83" s="4" t="str">
        <f t="shared" si="65"/>
        <v>300100052893</v>
      </c>
    </row>
    <row r="84" spans="1:15">
      <c r="A84" s="4" t="str">
        <f t="shared" si="77"/>
        <v>20171207</v>
      </c>
      <c r="B84" s="4" t="str">
        <f>"20171207"</f>
        <v>20171207</v>
      </c>
      <c r="C84" s="4" t="str">
        <f>"证券买入"</f>
        <v>证券买入</v>
      </c>
      <c r="D84" s="4" t="str">
        <f>"150153"</f>
        <v>150153</v>
      </c>
      <c r="E84" s="4" t="str">
        <f>"创业板B"</f>
        <v>创业板B</v>
      </c>
      <c r="F84" s="4">
        <v>0.595</v>
      </c>
      <c r="G84" s="4">
        <v>20000</v>
      </c>
      <c r="H84" s="4">
        <v>11900</v>
      </c>
      <c r="I84" s="4">
        <v>-11905</v>
      </c>
      <c r="J84" s="4">
        <v>3171</v>
      </c>
      <c r="K84" s="4">
        <v>60000</v>
      </c>
      <c r="L84" s="4" t="str">
        <f t="shared" si="64"/>
        <v>人民币</v>
      </c>
      <c r="M84" s="4" t="str">
        <f>"T4016886"</f>
        <v>T4016886</v>
      </c>
      <c r="N84" s="4" t="str">
        <f t="shared" si="76"/>
        <v>0149593788</v>
      </c>
      <c r="O84" s="4" t="str">
        <f t="shared" si="65"/>
        <v>300100052893</v>
      </c>
    </row>
    <row r="85" spans="1:15">
      <c r="A85" s="4" t="str">
        <f t="shared" si="77"/>
        <v>20171207</v>
      </c>
      <c r="B85" s="4" t="str">
        <f t="shared" ref="B85:B89" si="78">"20171205"</f>
        <v>20171205</v>
      </c>
      <c r="C85" s="4" t="str">
        <f t="shared" si="75"/>
        <v>配售缴款</v>
      </c>
      <c r="D85" s="4" t="str">
        <f>"730025"</f>
        <v>730025</v>
      </c>
      <c r="E85" s="4" t="str">
        <f>"华能申购"</f>
        <v>华能申购</v>
      </c>
      <c r="F85" s="4">
        <v>2.17</v>
      </c>
      <c r="G85" s="4">
        <v>1000</v>
      </c>
      <c r="H85" s="4">
        <v>2170</v>
      </c>
      <c r="I85" s="4">
        <v>-2170</v>
      </c>
      <c r="J85" s="4">
        <v>1001</v>
      </c>
      <c r="K85" s="4">
        <v>0</v>
      </c>
      <c r="L85" s="4" t="str">
        <f t="shared" si="64"/>
        <v>人民币</v>
      </c>
      <c r="M85" s="4" t="str">
        <f>"0136003260"</f>
        <v>0136003260</v>
      </c>
      <c r="N85" s="4" t="str">
        <f>"A368402599"</f>
        <v>A368402599</v>
      </c>
      <c r="O85" s="4" t="str">
        <f t="shared" si="65"/>
        <v>300100052893</v>
      </c>
    </row>
    <row r="86" spans="1:15">
      <c r="A86" s="4" t="str">
        <f t="shared" si="77"/>
        <v>20171207</v>
      </c>
      <c r="B86" s="4" t="str">
        <f t="shared" si="78"/>
        <v>20171205</v>
      </c>
      <c r="C86" s="4" t="str">
        <f t="shared" si="75"/>
        <v>配售缴款</v>
      </c>
      <c r="D86" s="4" t="str">
        <f>"072142"</f>
        <v>072142</v>
      </c>
      <c r="E86" s="4" t="str">
        <f>"宁行发债"</f>
        <v>宁行发债</v>
      </c>
      <c r="F86" s="4">
        <v>100</v>
      </c>
      <c r="G86" s="4">
        <v>10</v>
      </c>
      <c r="H86" s="4">
        <v>1000</v>
      </c>
      <c r="I86" s="4">
        <v>-1000</v>
      </c>
      <c r="J86" s="4">
        <v>1</v>
      </c>
      <c r="K86" s="4">
        <v>0</v>
      </c>
      <c r="L86" s="4" t="str">
        <f t="shared" si="64"/>
        <v>人民币</v>
      </c>
      <c r="M86" s="4" t="str">
        <f>"T4002071"</f>
        <v>T4002071</v>
      </c>
      <c r="N86" s="4" t="str">
        <f t="shared" ref="N86:N90" si="79">"0149593788"</f>
        <v>0149593788</v>
      </c>
      <c r="O86" s="4" t="str">
        <f t="shared" si="65"/>
        <v>300100052893</v>
      </c>
    </row>
    <row r="87" spans="1:15">
      <c r="A87" s="4" t="str">
        <f t="shared" ref="A87:A90" si="80">"20171208"</f>
        <v>20171208</v>
      </c>
      <c r="B87" s="4" t="str">
        <f>"20171208"</f>
        <v>20171208</v>
      </c>
      <c r="C87" s="4" t="str">
        <f>"基金申购拨出"</f>
        <v>基金申购拨出</v>
      </c>
      <c r="D87" s="4" t="str">
        <f>"AA0007"</f>
        <v>AA0007</v>
      </c>
      <c r="E87" s="4" t="str">
        <f>"银河水星1号集合"</f>
        <v>银河水星1号集合</v>
      </c>
      <c r="F87" s="4">
        <v>0</v>
      </c>
      <c r="G87" s="4">
        <v>0</v>
      </c>
      <c r="H87" s="4">
        <v>0</v>
      </c>
      <c r="I87" s="4">
        <v>-12095</v>
      </c>
      <c r="J87" s="4">
        <v>-12094</v>
      </c>
      <c r="K87" s="4">
        <v>0</v>
      </c>
      <c r="L87" s="4" t="str">
        <f t="shared" si="64"/>
        <v>人民币</v>
      </c>
      <c r="N87" s="4" t="str">
        <f>"980149593788"</f>
        <v>980149593788</v>
      </c>
      <c r="O87" s="4" t="str">
        <f t="shared" si="65"/>
        <v>300100052893</v>
      </c>
    </row>
    <row r="88" spans="1:15">
      <c r="A88" s="4" t="str">
        <f t="shared" si="80"/>
        <v>20171208</v>
      </c>
      <c r="B88" s="4" t="str">
        <f t="shared" si="78"/>
        <v>20171205</v>
      </c>
      <c r="C88" s="4" t="str">
        <f>"配售股份"</f>
        <v>配售股份</v>
      </c>
      <c r="D88" s="4" t="str">
        <f>"730025"</f>
        <v>730025</v>
      </c>
      <c r="E88" s="4" t="str">
        <f>"华能申购"</f>
        <v>华能申购</v>
      </c>
      <c r="F88" s="4">
        <v>2.17</v>
      </c>
      <c r="G88" s="4">
        <v>1000</v>
      </c>
      <c r="H88" s="4">
        <v>2170</v>
      </c>
      <c r="I88" s="4">
        <v>0</v>
      </c>
      <c r="J88" s="4">
        <v>-12094</v>
      </c>
      <c r="K88" s="4">
        <v>1000</v>
      </c>
      <c r="L88" s="4" t="str">
        <f t="shared" si="64"/>
        <v>人民币</v>
      </c>
      <c r="M88" s="4" t="str">
        <f>"0136003260"</f>
        <v>0136003260</v>
      </c>
      <c r="N88" s="4" t="str">
        <f>"A368402599"</f>
        <v>A368402599</v>
      </c>
      <c r="O88" s="4" t="str">
        <f t="shared" si="65"/>
        <v>300100052893</v>
      </c>
    </row>
    <row r="89" spans="1:15">
      <c r="A89" s="4" t="str">
        <f t="shared" si="80"/>
        <v>20171208</v>
      </c>
      <c r="B89" s="4" t="str">
        <f t="shared" si="78"/>
        <v>20171205</v>
      </c>
      <c r="C89" s="4" t="str">
        <f>"配售股份"</f>
        <v>配售股份</v>
      </c>
      <c r="D89" s="4" t="str">
        <f>"072142"</f>
        <v>072142</v>
      </c>
      <c r="E89" s="4" t="str">
        <f>"宁行发债"</f>
        <v>宁行发债</v>
      </c>
      <c r="F89" s="4">
        <v>100</v>
      </c>
      <c r="G89" s="4">
        <v>10</v>
      </c>
      <c r="H89" s="4">
        <v>1000</v>
      </c>
      <c r="I89" s="4">
        <v>0</v>
      </c>
      <c r="J89" s="4">
        <v>-12094</v>
      </c>
      <c r="K89" s="4">
        <v>10</v>
      </c>
      <c r="L89" s="4" t="str">
        <f t="shared" si="64"/>
        <v>人民币</v>
      </c>
      <c r="M89" s="4" t="str">
        <f>"T4002071"</f>
        <v>T4002071</v>
      </c>
      <c r="N89" s="4" t="str">
        <f t="shared" si="79"/>
        <v>0149593788</v>
      </c>
      <c r="O89" s="4" t="str">
        <f t="shared" si="65"/>
        <v>300100052893</v>
      </c>
    </row>
    <row r="90" spans="1:15">
      <c r="A90" s="4" t="str">
        <f t="shared" si="80"/>
        <v>20171208</v>
      </c>
      <c r="B90" s="4" t="str">
        <f>"20171208"</f>
        <v>20171208</v>
      </c>
      <c r="C90" s="4" t="str">
        <f>"证券卖出"</f>
        <v>证券卖出</v>
      </c>
      <c r="D90" s="4" t="str">
        <f>"150153"</f>
        <v>150153</v>
      </c>
      <c r="E90" s="4" t="str">
        <f>"创业板B"</f>
        <v>创业板B</v>
      </c>
      <c r="F90" s="4">
        <v>0.605</v>
      </c>
      <c r="G90" s="4">
        <v>20000</v>
      </c>
      <c r="H90" s="4">
        <v>12100</v>
      </c>
      <c r="I90" s="4">
        <v>12095</v>
      </c>
      <c r="J90" s="4">
        <v>1</v>
      </c>
      <c r="K90" s="4">
        <v>40000</v>
      </c>
      <c r="L90" s="4" t="str">
        <f t="shared" si="64"/>
        <v>人民币</v>
      </c>
      <c r="M90" s="4" t="str">
        <f>"T4003034"</f>
        <v>T4003034</v>
      </c>
      <c r="N90" s="4" t="str">
        <f t="shared" si="79"/>
        <v>0149593788</v>
      </c>
      <c r="O90" s="4" t="str">
        <f t="shared" si="65"/>
        <v>300100052893</v>
      </c>
    </row>
    <row r="91" spans="1:15">
      <c r="A91" s="4" t="str">
        <f t="shared" ref="A91:A93" si="81">"20171211"</f>
        <v>20171211</v>
      </c>
      <c r="B91" s="4" t="str">
        <f>"20171211"</f>
        <v>20171211</v>
      </c>
      <c r="C91" s="4" t="str">
        <f>"基金赎回拨入"</f>
        <v>基金赎回拨入</v>
      </c>
      <c r="D91" s="4" t="str">
        <f>"AA0007"</f>
        <v>AA0007</v>
      </c>
      <c r="E91" s="4" t="str">
        <f>"银河水星1号集合"</f>
        <v>银河水星1号集合</v>
      </c>
      <c r="F91" s="4">
        <v>0</v>
      </c>
      <c r="G91" s="4">
        <v>9305</v>
      </c>
      <c r="H91" s="4">
        <v>0</v>
      </c>
      <c r="I91" s="4">
        <v>9305</v>
      </c>
      <c r="J91" s="4">
        <v>9306</v>
      </c>
      <c r="K91" s="4">
        <v>0</v>
      </c>
      <c r="L91" s="4" t="str">
        <f t="shared" si="64"/>
        <v>人民币</v>
      </c>
      <c r="N91" s="4" t="str">
        <f>"980149593788"</f>
        <v>980149593788</v>
      </c>
      <c r="O91" s="4" t="str">
        <f t="shared" si="65"/>
        <v>300100052893</v>
      </c>
    </row>
    <row r="92" spans="1:15">
      <c r="A92" s="4" t="str">
        <f t="shared" si="81"/>
        <v>20171211</v>
      </c>
      <c r="B92" s="4" t="str">
        <f>"20171204"</f>
        <v>20171204</v>
      </c>
      <c r="C92" s="4" t="str">
        <f>"新股入帐"</f>
        <v>新股入帐</v>
      </c>
      <c r="D92" s="4" t="str">
        <f>"128023"</f>
        <v>128023</v>
      </c>
      <c r="E92" s="4" t="str">
        <f>"新代码"</f>
        <v>新代码</v>
      </c>
      <c r="F92" s="4">
        <v>0</v>
      </c>
      <c r="G92" s="4">
        <v>10</v>
      </c>
      <c r="H92" s="4">
        <v>0</v>
      </c>
      <c r="I92" s="4">
        <v>0</v>
      </c>
      <c r="J92" s="4">
        <v>9306</v>
      </c>
      <c r="K92" s="4">
        <v>10</v>
      </c>
      <c r="L92" s="4" t="str">
        <f t="shared" si="64"/>
        <v>人民币</v>
      </c>
      <c r="N92" s="4" t="str">
        <f t="shared" ref="N92:N97" si="82">"0149593788"</f>
        <v>0149593788</v>
      </c>
      <c r="O92" s="4" t="str">
        <f t="shared" si="65"/>
        <v>300100052893</v>
      </c>
    </row>
    <row r="93" spans="1:15">
      <c r="A93" s="4" t="str">
        <f t="shared" si="81"/>
        <v>20171211</v>
      </c>
      <c r="B93" s="4" t="str">
        <f>"20171211"</f>
        <v>20171211</v>
      </c>
      <c r="C93" s="4" t="str">
        <f>"证券买入"</f>
        <v>证券买入</v>
      </c>
      <c r="D93" s="4" t="str">
        <f>"150201"</f>
        <v>150201</v>
      </c>
      <c r="E93" s="4" t="str">
        <f>"券商B"</f>
        <v>券商B</v>
      </c>
      <c r="F93" s="4">
        <v>0.465</v>
      </c>
      <c r="G93" s="4">
        <v>20000</v>
      </c>
      <c r="H93" s="4">
        <v>9300</v>
      </c>
      <c r="I93" s="4">
        <v>-9305</v>
      </c>
      <c r="J93" s="4">
        <v>1</v>
      </c>
      <c r="K93" s="4">
        <v>40000</v>
      </c>
      <c r="L93" s="4" t="str">
        <f t="shared" si="64"/>
        <v>人民币</v>
      </c>
      <c r="M93" s="4" t="str">
        <f>"T4005063"</f>
        <v>T4005063</v>
      </c>
      <c r="N93" s="4" t="str">
        <f t="shared" si="82"/>
        <v>0149593788</v>
      </c>
      <c r="O93" s="4" t="str">
        <f t="shared" si="65"/>
        <v>300100052893</v>
      </c>
    </row>
    <row r="94" spans="1:15">
      <c r="A94" s="4" t="str">
        <f>"20171214"</f>
        <v>20171214</v>
      </c>
      <c r="B94" s="4" t="str">
        <f>"20171205"</f>
        <v>20171205</v>
      </c>
      <c r="C94" s="4" t="str">
        <f>"新股入帐"</f>
        <v>新股入帐</v>
      </c>
      <c r="D94" s="4" t="str">
        <f>"600025"</f>
        <v>600025</v>
      </c>
      <c r="E94" s="4" t="str">
        <f>"新代码"</f>
        <v>新代码</v>
      </c>
      <c r="F94" s="4">
        <v>0</v>
      </c>
      <c r="G94" s="4">
        <v>1000</v>
      </c>
      <c r="H94" s="4">
        <v>0</v>
      </c>
      <c r="I94" s="4">
        <v>0</v>
      </c>
      <c r="J94" s="4">
        <v>1</v>
      </c>
      <c r="K94" s="4">
        <v>1000</v>
      </c>
      <c r="L94" s="4" t="str">
        <f t="shared" si="64"/>
        <v>人民币</v>
      </c>
      <c r="N94" s="4" t="str">
        <f>"A368402599"</f>
        <v>A368402599</v>
      </c>
      <c r="O94" s="4" t="str">
        <f t="shared" si="65"/>
        <v>300100052893</v>
      </c>
    </row>
    <row r="95" spans="1:15">
      <c r="A95" s="4" t="str">
        <f>"20171215"</f>
        <v>20171215</v>
      </c>
      <c r="B95" s="4" t="str">
        <f>"20171215"</f>
        <v>20171215</v>
      </c>
      <c r="C95" s="4" t="str">
        <f>"基金申购拨出"</f>
        <v>基金申购拨出</v>
      </c>
      <c r="D95" s="4" t="str">
        <f>"AA0007"</f>
        <v>AA0007</v>
      </c>
      <c r="E95" s="4" t="str">
        <f>"银河水星1号集合"</f>
        <v>银河水星1号集合</v>
      </c>
      <c r="F95" s="4">
        <v>0</v>
      </c>
      <c r="G95" s="4">
        <v>0</v>
      </c>
      <c r="H95" s="4">
        <v>0</v>
      </c>
      <c r="I95" s="4">
        <v>-15515</v>
      </c>
      <c r="J95" s="4">
        <v>-15514</v>
      </c>
      <c r="K95" s="4">
        <v>0</v>
      </c>
      <c r="L95" s="4" t="str">
        <f t="shared" si="64"/>
        <v>人民币</v>
      </c>
      <c r="N95" s="4" t="str">
        <f>"980149593788"</f>
        <v>980149593788</v>
      </c>
      <c r="O95" s="4" t="str">
        <f t="shared" si="65"/>
        <v>300100052893</v>
      </c>
    </row>
    <row r="96" spans="1:15">
      <c r="A96" s="4" t="str">
        <f>"20171215"</f>
        <v>20171215</v>
      </c>
      <c r="B96" s="4" t="str">
        <f>"20171215"</f>
        <v>20171215</v>
      </c>
      <c r="C96" s="4" t="str">
        <f>"证券卖出"</f>
        <v>证券卖出</v>
      </c>
      <c r="D96" s="4" t="str">
        <f>"150201"</f>
        <v>150201</v>
      </c>
      <c r="E96" s="4" t="str">
        <f>"券商B"</f>
        <v>券商B</v>
      </c>
      <c r="F96" s="4">
        <v>0.388</v>
      </c>
      <c r="G96" s="4">
        <v>40000</v>
      </c>
      <c r="H96" s="4">
        <v>15520</v>
      </c>
      <c r="I96" s="4">
        <v>15515</v>
      </c>
      <c r="J96" s="4">
        <v>1</v>
      </c>
      <c r="K96" s="4">
        <v>0</v>
      </c>
      <c r="L96" s="4" t="str">
        <f t="shared" si="64"/>
        <v>人民币</v>
      </c>
      <c r="M96" s="4" t="str">
        <f>"T4008278"</f>
        <v>T4008278</v>
      </c>
      <c r="N96" s="4" t="str">
        <f t="shared" si="82"/>
        <v>0149593788</v>
      </c>
      <c r="O96" s="4" t="str">
        <f t="shared" si="65"/>
        <v>300100052893</v>
      </c>
    </row>
    <row r="97" spans="1:15">
      <c r="A97" s="4" t="str">
        <f>"20171218"</f>
        <v>20171218</v>
      </c>
      <c r="B97" s="4" t="str">
        <f>"20171218"</f>
        <v>20171218</v>
      </c>
      <c r="C97" s="4" t="str">
        <f>"基金上折"</f>
        <v>基金上折</v>
      </c>
      <c r="D97" s="4" t="str">
        <f>"161024"</f>
        <v>161024</v>
      </c>
      <c r="E97" s="4" t="str">
        <f>"军工分级"</f>
        <v>军工分级</v>
      </c>
      <c r="F97" s="4">
        <v>0</v>
      </c>
      <c r="G97" s="4">
        <v>55</v>
      </c>
      <c r="H97" s="4">
        <v>0</v>
      </c>
      <c r="I97" s="4">
        <v>0</v>
      </c>
      <c r="J97" s="4">
        <v>1</v>
      </c>
      <c r="K97" s="4">
        <v>2176</v>
      </c>
      <c r="L97" s="4" t="str">
        <f t="shared" si="64"/>
        <v>人民币</v>
      </c>
      <c r="N97" s="4" t="str">
        <f t="shared" si="82"/>
        <v>0149593788</v>
      </c>
      <c r="O97" s="4" t="str">
        <f t="shared" si="65"/>
        <v>300100052893</v>
      </c>
    </row>
    <row r="98" spans="1:15">
      <c r="A98" s="4" t="str">
        <f t="shared" ref="A98:A101" si="83">"20171220"</f>
        <v>20171220</v>
      </c>
      <c r="B98" s="4" t="str">
        <f t="shared" ref="B98:B101" si="84">"20171220"</f>
        <v>20171220</v>
      </c>
      <c r="C98" s="4" t="str">
        <f>"银行转证券"</f>
        <v>银行转证券</v>
      </c>
      <c r="F98" s="4">
        <v>0</v>
      </c>
      <c r="G98" s="4">
        <v>0</v>
      </c>
      <c r="H98" s="4">
        <v>0</v>
      </c>
      <c r="I98" s="4">
        <v>32000</v>
      </c>
      <c r="J98" s="4">
        <v>32001</v>
      </c>
      <c r="K98" s="4">
        <v>0</v>
      </c>
      <c r="L98" s="4" t="str">
        <f t="shared" si="64"/>
        <v>人民币</v>
      </c>
      <c r="O98" s="4" t="str">
        <f t="shared" si="65"/>
        <v>300100052893</v>
      </c>
    </row>
    <row r="99" spans="1:15">
      <c r="A99" s="4" t="str">
        <f t="shared" si="83"/>
        <v>20171220</v>
      </c>
      <c r="B99" s="4" t="str">
        <f t="shared" si="84"/>
        <v>20171220</v>
      </c>
      <c r="C99" s="4" t="str">
        <f>"利息归本"</f>
        <v>利息归本</v>
      </c>
      <c r="F99" s="4">
        <v>0</v>
      </c>
      <c r="G99" s="4">
        <v>0</v>
      </c>
      <c r="H99" s="4">
        <v>0</v>
      </c>
      <c r="I99" s="4">
        <v>3.53</v>
      </c>
      <c r="J99" s="4">
        <v>32004.53</v>
      </c>
      <c r="K99" s="4">
        <v>0</v>
      </c>
      <c r="L99" s="4" t="str">
        <f t="shared" si="64"/>
        <v>人民币</v>
      </c>
      <c r="O99" s="4" t="str">
        <f t="shared" si="65"/>
        <v>300100052893</v>
      </c>
    </row>
    <row r="100" spans="1:15">
      <c r="A100" s="4" t="str">
        <f t="shared" si="83"/>
        <v>20171220</v>
      </c>
      <c r="B100" s="4" t="str">
        <f t="shared" si="84"/>
        <v>20171220</v>
      </c>
      <c r="C100" s="4" t="str">
        <f>"基金申购拨出"</f>
        <v>基金申购拨出</v>
      </c>
      <c r="D100" s="4" t="str">
        <f t="shared" ref="D100:D106" si="85">"AA0007"</f>
        <v>AA0007</v>
      </c>
      <c r="E100" s="4" t="str">
        <f t="shared" ref="E100:E106" si="86">"银河水星1号集合"</f>
        <v>银河水星1号集合</v>
      </c>
      <c r="F100" s="4">
        <v>0</v>
      </c>
      <c r="G100" s="4">
        <v>0</v>
      </c>
      <c r="H100" s="4">
        <v>0</v>
      </c>
      <c r="I100" s="4">
        <v>-50066.3</v>
      </c>
      <c r="J100" s="4">
        <v>-18061.77</v>
      </c>
      <c r="K100" s="4">
        <v>0</v>
      </c>
      <c r="L100" s="4" t="str">
        <f t="shared" si="64"/>
        <v>人民币</v>
      </c>
      <c r="N100" s="4" t="str">
        <f t="shared" ref="N100:N106" si="87">"980149593788"</f>
        <v>980149593788</v>
      </c>
      <c r="O100" s="4" t="str">
        <f t="shared" si="65"/>
        <v>300100052893</v>
      </c>
    </row>
    <row r="101" spans="1:15">
      <c r="A101" s="4" t="str">
        <f t="shared" si="83"/>
        <v>20171220</v>
      </c>
      <c r="B101" s="4" t="str">
        <f t="shared" si="84"/>
        <v>20171220</v>
      </c>
      <c r="C101" s="4" t="str">
        <f>"证券卖出"</f>
        <v>证券卖出</v>
      </c>
      <c r="D101" s="4" t="str">
        <f>"000768"</f>
        <v>000768</v>
      </c>
      <c r="E101" s="4" t="str">
        <f>"中航飞机"</f>
        <v>中航飞机</v>
      </c>
      <c r="F101" s="4">
        <v>18.09</v>
      </c>
      <c r="G101" s="4">
        <v>1000</v>
      </c>
      <c r="H101" s="4">
        <v>18090</v>
      </c>
      <c r="I101" s="4">
        <v>18066.3</v>
      </c>
      <c r="J101" s="4">
        <v>4.53</v>
      </c>
      <c r="K101" s="4">
        <v>0</v>
      </c>
      <c r="L101" s="4" t="str">
        <f t="shared" si="64"/>
        <v>人民币</v>
      </c>
      <c r="M101" s="4" t="str">
        <f>"T4007951"</f>
        <v>T4007951</v>
      </c>
      <c r="N101" s="4" t="str">
        <f>"0149593788"</f>
        <v>0149593788</v>
      </c>
      <c r="O101" s="4" t="str">
        <f t="shared" si="65"/>
        <v>300100052893</v>
      </c>
    </row>
    <row r="102" spans="1:15">
      <c r="A102" s="4" t="str">
        <f t="shared" ref="A102:A109" si="88">"20171221"</f>
        <v>20171221</v>
      </c>
      <c r="B102" s="4" t="str">
        <f t="shared" ref="B102:B104" si="89">"20171221"</f>
        <v>20171221</v>
      </c>
      <c r="C102" s="4" t="str">
        <f>"资管计划实时取现"</f>
        <v>资管计划实时取现</v>
      </c>
      <c r="D102" s="4" t="str">
        <f>"119931"</f>
        <v>119931</v>
      </c>
      <c r="E102" s="4" t="str">
        <f>"水星1号"</f>
        <v>水星1号</v>
      </c>
      <c r="F102" s="4">
        <v>0</v>
      </c>
      <c r="G102" s="4">
        <v>0</v>
      </c>
      <c r="H102" s="4">
        <v>4000</v>
      </c>
      <c r="I102" s="4">
        <v>4000</v>
      </c>
      <c r="J102" s="4">
        <v>4004.53</v>
      </c>
      <c r="K102" s="4">
        <v>0</v>
      </c>
      <c r="L102" s="4" t="str">
        <f t="shared" si="64"/>
        <v>人民币</v>
      </c>
      <c r="M102" s="4" t="str">
        <f>"T4000678"</f>
        <v>T4000678</v>
      </c>
      <c r="N102" s="4" t="str">
        <f>"0149593788"</f>
        <v>0149593788</v>
      </c>
      <c r="O102" s="4" t="str">
        <f t="shared" si="65"/>
        <v>300100052893</v>
      </c>
    </row>
    <row r="103" spans="1:15">
      <c r="A103" s="4" t="str">
        <f t="shared" si="88"/>
        <v>20171221</v>
      </c>
      <c r="B103" s="4" t="str">
        <f t="shared" si="89"/>
        <v>20171221</v>
      </c>
      <c r="C103" s="4" t="str">
        <f>"证券转银行"</f>
        <v>证券转银行</v>
      </c>
      <c r="F103" s="4">
        <v>0</v>
      </c>
      <c r="G103" s="4">
        <v>0</v>
      </c>
      <c r="H103" s="4">
        <v>0</v>
      </c>
      <c r="I103" s="4">
        <v>-4000</v>
      </c>
      <c r="J103" s="4">
        <v>4.53</v>
      </c>
      <c r="K103" s="4">
        <v>0</v>
      </c>
      <c r="L103" s="4" t="str">
        <f t="shared" si="64"/>
        <v>人民币</v>
      </c>
      <c r="O103" s="4" t="str">
        <f t="shared" si="65"/>
        <v>300100052893</v>
      </c>
    </row>
    <row r="104" spans="1:15">
      <c r="A104" s="4" t="str">
        <f t="shared" si="88"/>
        <v>20171221</v>
      </c>
      <c r="B104" s="4" t="str">
        <f t="shared" si="89"/>
        <v>20171221</v>
      </c>
      <c r="C104" s="4" t="str">
        <f>"资管T0取现拨入"</f>
        <v>资管T0取现拨入</v>
      </c>
      <c r="D104" s="4" t="str">
        <f t="shared" si="85"/>
        <v>AA0007</v>
      </c>
      <c r="E104" s="4" t="str">
        <f t="shared" si="86"/>
        <v>银河水星1号集合</v>
      </c>
      <c r="F104" s="4">
        <v>0</v>
      </c>
      <c r="G104" s="4">
        <v>4000</v>
      </c>
      <c r="H104" s="4">
        <v>4000</v>
      </c>
      <c r="I104" s="4">
        <v>4000</v>
      </c>
      <c r="J104" s="4">
        <v>4004.53</v>
      </c>
      <c r="K104" s="4">
        <v>0</v>
      </c>
      <c r="L104" s="4" t="str">
        <f t="shared" si="64"/>
        <v>人民币</v>
      </c>
      <c r="N104" s="4" t="str">
        <f t="shared" si="87"/>
        <v>980149593788</v>
      </c>
      <c r="O104" s="4" t="str">
        <f t="shared" si="65"/>
        <v>300100052893</v>
      </c>
    </row>
    <row r="105" spans="1:15">
      <c r="A105" s="4" t="str">
        <f t="shared" si="88"/>
        <v>20171221</v>
      </c>
      <c r="B105" s="4" t="str">
        <f>"0"</f>
        <v>0</v>
      </c>
      <c r="C105" s="4" t="str">
        <f>"基金红利拨入"</f>
        <v>基金红利拨入</v>
      </c>
      <c r="D105" s="4" t="str">
        <f t="shared" si="85"/>
        <v>AA0007</v>
      </c>
      <c r="E105" s="4" t="str">
        <f t="shared" si="86"/>
        <v>银河水星1号集合</v>
      </c>
      <c r="F105" s="4">
        <v>0</v>
      </c>
      <c r="G105" s="4">
        <v>0</v>
      </c>
      <c r="H105" s="4">
        <v>163.24</v>
      </c>
      <c r="I105" s="4">
        <v>163.24</v>
      </c>
      <c r="J105" s="4">
        <v>4167.77</v>
      </c>
      <c r="K105" s="4">
        <v>0</v>
      </c>
      <c r="L105" s="4" t="str">
        <f t="shared" si="64"/>
        <v>人民币</v>
      </c>
      <c r="N105" s="4" t="str">
        <f t="shared" si="87"/>
        <v>980149593788</v>
      </c>
      <c r="O105" s="4" t="str">
        <f t="shared" si="65"/>
        <v>300100052893</v>
      </c>
    </row>
    <row r="106" spans="1:15">
      <c r="A106" s="4" t="str">
        <f t="shared" si="88"/>
        <v>20171221</v>
      </c>
      <c r="B106" s="4" t="str">
        <f t="shared" ref="B106:B109" si="90">"20171221"</f>
        <v>20171221</v>
      </c>
      <c r="C106" s="4" t="str">
        <f>"基金申购拨出"</f>
        <v>基金申购拨出</v>
      </c>
      <c r="D106" s="4" t="str">
        <f t="shared" si="85"/>
        <v>AA0007</v>
      </c>
      <c r="E106" s="4" t="str">
        <f t="shared" si="86"/>
        <v>银河水星1号集合</v>
      </c>
      <c r="F106" s="4">
        <v>0</v>
      </c>
      <c r="G106" s="4">
        <v>0</v>
      </c>
      <c r="H106" s="4">
        <v>0</v>
      </c>
      <c r="I106" s="4">
        <v>-16059.09</v>
      </c>
      <c r="J106" s="4">
        <v>-11891.32</v>
      </c>
      <c r="K106" s="4">
        <v>0</v>
      </c>
      <c r="L106" s="4" t="str">
        <f t="shared" si="64"/>
        <v>人民币</v>
      </c>
      <c r="N106" s="4" t="str">
        <f t="shared" si="87"/>
        <v>980149593788</v>
      </c>
      <c r="O106" s="4" t="str">
        <f t="shared" si="65"/>
        <v>300100052893</v>
      </c>
    </row>
    <row r="107" spans="1:15">
      <c r="A107" s="4" t="str">
        <f t="shared" si="88"/>
        <v>20171221</v>
      </c>
      <c r="B107" s="4" t="str">
        <f t="shared" si="90"/>
        <v>20171221</v>
      </c>
      <c r="C107" s="4" t="str">
        <f>"资管计划实时取现"</f>
        <v>资管计划实时取现</v>
      </c>
      <c r="D107" s="4" t="str">
        <f>"119931"</f>
        <v>119931</v>
      </c>
      <c r="E107" s="4" t="str">
        <f>"水星1号"</f>
        <v>水星1号</v>
      </c>
      <c r="F107" s="4">
        <v>0</v>
      </c>
      <c r="G107" s="4">
        <v>0</v>
      </c>
      <c r="H107" s="4">
        <v>0</v>
      </c>
      <c r="I107" s="4">
        <v>-4000</v>
      </c>
      <c r="J107" s="4">
        <v>-15891.32</v>
      </c>
      <c r="K107" s="4">
        <v>0</v>
      </c>
      <c r="L107" s="4" t="str">
        <f t="shared" si="64"/>
        <v>人民币</v>
      </c>
      <c r="M107" s="4" t="str">
        <f>"T4000678"</f>
        <v>T4000678</v>
      </c>
      <c r="N107" s="4" t="str">
        <f t="shared" ref="N107:N110" si="91">"0149593788"</f>
        <v>0149593788</v>
      </c>
      <c r="O107" s="4" t="str">
        <f t="shared" si="65"/>
        <v>300100052893</v>
      </c>
    </row>
    <row r="108" spans="1:15">
      <c r="A108" s="4" t="str">
        <f t="shared" si="88"/>
        <v>20171221</v>
      </c>
      <c r="B108" s="4" t="str">
        <f t="shared" si="90"/>
        <v>20171221</v>
      </c>
      <c r="C108" s="4" t="str">
        <f>"证券卖出"</f>
        <v>证券卖出</v>
      </c>
      <c r="D108" s="4" t="str">
        <f>"600025"</f>
        <v>600025</v>
      </c>
      <c r="E108" s="4" t="str">
        <f>"华能水电"</f>
        <v>华能水电</v>
      </c>
      <c r="F108" s="4">
        <v>4.35</v>
      </c>
      <c r="G108" s="4">
        <v>1000</v>
      </c>
      <c r="H108" s="4">
        <v>4350</v>
      </c>
      <c r="I108" s="4">
        <v>4340.56</v>
      </c>
      <c r="J108" s="4">
        <v>-11550.76</v>
      </c>
      <c r="K108" s="4">
        <v>0</v>
      </c>
      <c r="L108" s="4" t="str">
        <f t="shared" si="64"/>
        <v>人民币</v>
      </c>
      <c r="M108" s="4" t="str">
        <f>"0136001235"</f>
        <v>0136001235</v>
      </c>
      <c r="N108" s="4" t="str">
        <f>"A368402599"</f>
        <v>A368402599</v>
      </c>
      <c r="O108" s="4" t="str">
        <f t="shared" si="65"/>
        <v>300100052893</v>
      </c>
    </row>
    <row r="109" spans="1:15">
      <c r="A109" s="4" t="str">
        <f t="shared" si="88"/>
        <v>20171221</v>
      </c>
      <c r="B109" s="4" t="str">
        <f t="shared" si="90"/>
        <v>20171221</v>
      </c>
      <c r="C109" s="4" t="str">
        <f>"证券卖出"</f>
        <v>证券卖出</v>
      </c>
      <c r="D109" s="4" t="str">
        <f>"150153"</f>
        <v>150153</v>
      </c>
      <c r="E109" s="4" t="str">
        <f>"创业板B"</f>
        <v>创业板B</v>
      </c>
      <c r="F109" s="4">
        <v>0.586</v>
      </c>
      <c r="G109" s="4">
        <v>20000</v>
      </c>
      <c r="H109" s="4">
        <v>11720</v>
      </c>
      <c r="I109" s="4">
        <v>11715</v>
      </c>
      <c r="J109" s="4">
        <v>164.24</v>
      </c>
      <c r="K109" s="4">
        <v>20000</v>
      </c>
      <c r="L109" s="4" t="str">
        <f t="shared" si="64"/>
        <v>人民币</v>
      </c>
      <c r="M109" s="4" t="str">
        <f>"T4001316"</f>
        <v>T4001316</v>
      </c>
      <c r="N109" s="4" t="str">
        <f t="shared" si="91"/>
        <v>0149593788</v>
      </c>
      <c r="O109" s="4" t="str">
        <f t="shared" si="65"/>
        <v>300100052893</v>
      </c>
    </row>
    <row r="110" spans="1:15">
      <c r="A110" s="4" t="str">
        <f>"20171222"</f>
        <v>20171222</v>
      </c>
      <c r="B110" s="4" t="str">
        <f>"0"</f>
        <v>0</v>
      </c>
      <c r="C110" s="4" t="str">
        <f>"股息红利差异扣税"</f>
        <v>股息红利差异扣税</v>
      </c>
      <c r="D110" s="4" t="str">
        <f>"000601"</f>
        <v>000601</v>
      </c>
      <c r="E110" s="4" t="str">
        <f>"韶能股份"</f>
        <v>韶能股份</v>
      </c>
      <c r="F110" s="4">
        <v>0</v>
      </c>
      <c r="G110" s="4">
        <v>0</v>
      </c>
      <c r="H110" s="4">
        <v>0</v>
      </c>
      <c r="I110" s="4">
        <v>-60</v>
      </c>
      <c r="J110" s="4">
        <v>104.24</v>
      </c>
      <c r="K110" s="4">
        <v>0</v>
      </c>
      <c r="L110" s="4" t="str">
        <f t="shared" si="64"/>
        <v>人民币</v>
      </c>
      <c r="N110" s="4" t="str">
        <f t="shared" si="91"/>
        <v>0149593788</v>
      </c>
      <c r="O110" s="4" t="str">
        <f t="shared" si="65"/>
        <v>300100052893</v>
      </c>
    </row>
    <row r="111" spans="1:15">
      <c r="A111" s="4" t="str">
        <f>"20171225"</f>
        <v>20171225</v>
      </c>
      <c r="B111" s="4" t="str">
        <f>"20171225"</f>
        <v>20171225</v>
      </c>
      <c r="C111" s="4" t="str">
        <f>"基金赎回拨入"</f>
        <v>基金赎回拨入</v>
      </c>
      <c r="D111" s="4" t="str">
        <f>"AA0007"</f>
        <v>AA0007</v>
      </c>
      <c r="E111" s="4" t="str">
        <f>"银河水星1号集合"</f>
        <v>银河水星1号集合</v>
      </c>
      <c r="F111" s="4">
        <v>0</v>
      </c>
      <c r="G111" s="4">
        <v>16992</v>
      </c>
      <c r="H111" s="4">
        <v>0</v>
      </c>
      <c r="I111" s="4">
        <v>16992.06</v>
      </c>
      <c r="J111" s="4">
        <v>17096.3</v>
      </c>
      <c r="K111" s="4">
        <v>0</v>
      </c>
      <c r="L111" s="4" t="str">
        <f t="shared" si="64"/>
        <v>人民币</v>
      </c>
      <c r="N111" s="4" t="str">
        <f>"980149593788"</f>
        <v>980149593788</v>
      </c>
      <c r="O111" s="4" t="str">
        <f t="shared" si="65"/>
        <v>300100052893</v>
      </c>
    </row>
    <row r="112" spans="1:15">
      <c r="A112" s="4" t="str">
        <f>"20171225"</f>
        <v>20171225</v>
      </c>
      <c r="B112" s="4" t="str">
        <f>"20171225"</f>
        <v>20171225</v>
      </c>
      <c r="C112" s="4" t="str">
        <f>"证券买入"</f>
        <v>证券买入</v>
      </c>
      <c r="D112" s="4" t="str">
        <f>"000768"</f>
        <v>000768</v>
      </c>
      <c r="E112" s="4" t="str">
        <f>"中航飞机"</f>
        <v>中航飞机</v>
      </c>
      <c r="F112" s="4">
        <v>17.09</v>
      </c>
      <c r="G112" s="4">
        <v>1000</v>
      </c>
      <c r="H112" s="4">
        <v>17090</v>
      </c>
      <c r="I112" s="4">
        <v>-17095.3</v>
      </c>
      <c r="J112" s="4">
        <v>1</v>
      </c>
      <c r="K112" s="4">
        <v>1000</v>
      </c>
      <c r="L112" s="4" t="str">
        <f t="shared" si="64"/>
        <v>人民币</v>
      </c>
      <c r="M112" s="4" t="str">
        <f>"T4003356"</f>
        <v>T4003356</v>
      </c>
      <c r="N112" s="4" t="str">
        <f t="shared" ref="N112:N114" si="92">"0149593788"</f>
        <v>0149593788</v>
      </c>
      <c r="O112" s="4" t="str">
        <f t="shared" si="65"/>
        <v>300100052893</v>
      </c>
    </row>
    <row r="113" spans="1:15">
      <c r="A113" s="4" t="str">
        <f>"20171226"</f>
        <v>20171226</v>
      </c>
      <c r="B113" s="4" t="str">
        <f>"20171205"</f>
        <v>20171205</v>
      </c>
      <c r="C113" s="4" t="str">
        <f>"新股入帐"</f>
        <v>新股入帐</v>
      </c>
      <c r="D113" s="4" t="str">
        <f>"128024"</f>
        <v>128024</v>
      </c>
      <c r="E113" s="4" t="str">
        <f>"新代码"</f>
        <v>新代码</v>
      </c>
      <c r="F113" s="4">
        <v>0</v>
      </c>
      <c r="G113" s="4">
        <v>10</v>
      </c>
      <c r="H113" s="4">
        <v>0</v>
      </c>
      <c r="I113" s="4">
        <v>0</v>
      </c>
      <c r="J113" s="4">
        <v>1</v>
      </c>
      <c r="K113" s="4">
        <v>10</v>
      </c>
      <c r="L113" s="4" t="str">
        <f t="shared" si="64"/>
        <v>人民币</v>
      </c>
      <c r="N113" s="4" t="str">
        <f t="shared" si="92"/>
        <v>0149593788</v>
      </c>
      <c r="O113" s="4" t="str">
        <f t="shared" si="65"/>
        <v>300100052893</v>
      </c>
    </row>
    <row r="114" spans="1:15">
      <c r="A114" s="4" t="str">
        <f>"20171227"</f>
        <v>20171227</v>
      </c>
      <c r="B114" s="4" t="str">
        <f>"20171227"</f>
        <v>20171227</v>
      </c>
      <c r="C114" s="4" t="str">
        <f>"删除过期证券"</f>
        <v>删除过期证券</v>
      </c>
      <c r="D114" s="4" t="str">
        <f>"072284"</f>
        <v>072284</v>
      </c>
      <c r="E114" s="4" t="str">
        <f>"亚太发债"</f>
        <v>亚太发债</v>
      </c>
      <c r="F114" s="4">
        <v>0</v>
      </c>
      <c r="G114" s="4">
        <v>0</v>
      </c>
      <c r="H114" s="4">
        <v>0</v>
      </c>
      <c r="I114" s="4">
        <v>0</v>
      </c>
      <c r="J114" s="4">
        <v>1</v>
      </c>
      <c r="K114" s="4">
        <v>0</v>
      </c>
      <c r="L114" s="4" t="str">
        <f t="shared" si="64"/>
        <v>人民币</v>
      </c>
      <c r="N114" s="4" t="str">
        <f t="shared" si="92"/>
        <v>0149593788</v>
      </c>
      <c r="O114" s="4" t="str">
        <f t="shared" si="65"/>
        <v>300100052893</v>
      </c>
    </row>
    <row r="115" spans="1:15">
      <c r="A115" s="4" t="str">
        <f t="shared" ref="A115:A117" si="93">"20171228"</f>
        <v>20171228</v>
      </c>
      <c r="B115" s="4" t="str">
        <f t="shared" ref="B115:B117" si="94">"20171228"</f>
        <v>20171228</v>
      </c>
      <c r="C115" s="4" t="str">
        <f>"基金赎回拨入"</f>
        <v>基金赎回拨入</v>
      </c>
      <c r="D115" s="4" t="str">
        <f>"AA0007"</f>
        <v>AA0007</v>
      </c>
      <c r="E115" s="4" t="str">
        <f>"银河水星1号集合"</f>
        <v>银河水星1号集合</v>
      </c>
      <c r="F115" s="4">
        <v>0</v>
      </c>
      <c r="G115" s="4">
        <v>75137</v>
      </c>
      <c r="H115" s="4">
        <v>0</v>
      </c>
      <c r="I115" s="4">
        <v>75137.09</v>
      </c>
      <c r="J115" s="4">
        <v>75138.09</v>
      </c>
      <c r="K115" s="4">
        <v>0</v>
      </c>
      <c r="L115" s="4" t="str">
        <f t="shared" si="64"/>
        <v>人民币</v>
      </c>
      <c r="N115" s="4" t="str">
        <f>"980149593788"</f>
        <v>980149593788</v>
      </c>
      <c r="O115" s="4" t="str">
        <f t="shared" si="65"/>
        <v>300100052893</v>
      </c>
    </row>
    <row r="116" spans="1:15">
      <c r="A116" s="4" t="str">
        <f t="shared" si="93"/>
        <v>20171228</v>
      </c>
      <c r="B116" s="4" t="str">
        <f t="shared" si="94"/>
        <v>20171228</v>
      </c>
      <c r="C116" s="4" t="str">
        <f>"证券买入"</f>
        <v>证券买入</v>
      </c>
      <c r="D116" s="4" t="str">
        <f>"150182"</f>
        <v>150182</v>
      </c>
      <c r="E116" s="4" t="str">
        <f>"军工B"</f>
        <v>军工B</v>
      </c>
      <c r="F116" s="4">
        <v>0.769</v>
      </c>
      <c r="G116" s="4">
        <v>40000</v>
      </c>
      <c r="H116" s="4">
        <v>30760</v>
      </c>
      <c r="I116" s="4">
        <v>-30769.54</v>
      </c>
      <c r="J116" s="4">
        <v>44368.55</v>
      </c>
      <c r="K116" s="4">
        <v>40000</v>
      </c>
      <c r="L116" s="4" t="str">
        <f t="shared" si="64"/>
        <v>人民币</v>
      </c>
      <c r="M116" s="4" t="str">
        <f>"T4006628"</f>
        <v>T4006628</v>
      </c>
      <c r="N116" s="4" t="str">
        <f t="shared" ref="N116:N119" si="95">"0149593788"</f>
        <v>0149593788</v>
      </c>
      <c r="O116" s="4" t="str">
        <f t="shared" si="65"/>
        <v>300100052893</v>
      </c>
    </row>
    <row r="117" spans="1:15">
      <c r="A117" s="4" t="str">
        <f t="shared" si="93"/>
        <v>20171228</v>
      </c>
      <c r="B117" s="4" t="str">
        <f t="shared" si="94"/>
        <v>20171228</v>
      </c>
      <c r="C117" s="4" t="str">
        <f>"融券回购"</f>
        <v>融券回购</v>
      </c>
      <c r="D117" s="4" t="str">
        <f>"131810"</f>
        <v>131810</v>
      </c>
      <c r="E117" s="4" t="str">
        <f>"Ｒ-001"</f>
        <v>Ｒ-001</v>
      </c>
      <c r="F117" s="4">
        <v>13.383</v>
      </c>
      <c r="G117" s="4">
        <v>440</v>
      </c>
      <c r="H117" s="4">
        <v>44000</v>
      </c>
      <c r="I117" s="4">
        <v>-44000.44</v>
      </c>
      <c r="J117" s="4">
        <v>368.11</v>
      </c>
      <c r="K117" s="4">
        <v>0</v>
      </c>
      <c r="L117" s="4" t="str">
        <f t="shared" si="64"/>
        <v>人民币</v>
      </c>
      <c r="M117" s="4" t="str">
        <f>"T4009230"</f>
        <v>T4009230</v>
      </c>
      <c r="N117" s="4" t="str">
        <f t="shared" si="95"/>
        <v>0149593788</v>
      </c>
      <c r="O117" s="4" t="str">
        <f t="shared" si="65"/>
        <v>300100052893</v>
      </c>
    </row>
    <row r="118" spans="1:15">
      <c r="A118" s="4" t="str">
        <f>"20171229"</f>
        <v>20171229</v>
      </c>
      <c r="B118" s="4" t="str">
        <f>"20171229"</f>
        <v>20171229</v>
      </c>
      <c r="C118" s="4" t="str">
        <f>"基金申购拨出"</f>
        <v>基金申购拨出</v>
      </c>
      <c r="D118" s="4" t="str">
        <f>"AA0007"</f>
        <v>AA0007</v>
      </c>
      <c r="E118" s="4" t="str">
        <f>"银河水星1号集合"</f>
        <v>银河水星1号集合</v>
      </c>
      <c r="F118" s="4">
        <v>0</v>
      </c>
      <c r="G118" s="4">
        <v>0</v>
      </c>
      <c r="H118" s="4">
        <v>0</v>
      </c>
      <c r="I118" s="4">
        <v>-44432.64</v>
      </c>
      <c r="J118" s="4">
        <v>-44064.53</v>
      </c>
      <c r="K118" s="4">
        <v>0</v>
      </c>
      <c r="L118" s="4" t="str">
        <f t="shared" si="64"/>
        <v>人民币</v>
      </c>
      <c r="N118" s="4" t="str">
        <f>"980149593788"</f>
        <v>980149593788</v>
      </c>
      <c r="O118" s="4" t="str">
        <f t="shared" si="65"/>
        <v>300100052893</v>
      </c>
    </row>
    <row r="119" spans="1:15">
      <c r="A119" s="4" t="str">
        <f>"20171229"</f>
        <v>20171229</v>
      </c>
      <c r="B119" s="4" t="str">
        <f>"20171228"</f>
        <v>20171228</v>
      </c>
      <c r="C119" s="4" t="str">
        <f>"融券购回"</f>
        <v>融券购回</v>
      </c>
      <c r="D119" s="4" t="str">
        <f>"131810"</f>
        <v>131810</v>
      </c>
      <c r="E119" s="4" t="str">
        <f>"Ｒ-001"</f>
        <v>Ｒ-001</v>
      </c>
      <c r="F119" s="4">
        <v>13.383</v>
      </c>
      <c r="G119" s="4">
        <v>440</v>
      </c>
      <c r="H119" s="4">
        <v>44064.53</v>
      </c>
      <c r="I119" s="4">
        <v>44064.53</v>
      </c>
      <c r="J119" s="4">
        <v>0</v>
      </c>
      <c r="K119" s="4">
        <v>0</v>
      </c>
      <c r="L119" s="4" t="str">
        <f t="shared" si="64"/>
        <v>人民币</v>
      </c>
      <c r="M119" s="4" t="str">
        <f>"T4009230"</f>
        <v>T4009230</v>
      </c>
      <c r="N119" s="4" t="str">
        <f t="shared" si="95"/>
        <v>0149593788</v>
      </c>
      <c r="O119" s="4" t="str">
        <f t="shared" si="65"/>
        <v>300100052893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3"/>
  <sheetViews>
    <sheetView topLeftCell="A178" workbookViewId="0">
      <selection activeCell="A2" sqref="A2:K183"/>
    </sheetView>
  </sheetViews>
  <sheetFormatPr defaultColWidth="9" defaultRowHeight="13.5"/>
  <cols>
    <col min="1" max="16384" width="9" style="4"/>
  </cols>
  <sheetData>
    <row r="1" spans="1:15">
      <c r="A1" s="4" t="str">
        <f>"购买日期"</f>
        <v>购买日期</v>
      </c>
      <c r="B1" s="4" t="str">
        <f>"委托日期"</f>
        <v>委托日期</v>
      </c>
      <c r="C1" s="4" t="str">
        <f>"业务类型"</f>
        <v>业务类型</v>
      </c>
      <c r="D1" s="4" t="str">
        <f>"证券代码"</f>
        <v>证券代码</v>
      </c>
      <c r="E1" s="4" t="str">
        <f>"证券名称"</f>
        <v>证券名称</v>
      </c>
      <c r="F1" s="4" t="str">
        <f>"成交价格"</f>
        <v>成交价格</v>
      </c>
      <c r="G1" s="4" t="str">
        <f>"成交数量"</f>
        <v>成交数量</v>
      </c>
      <c r="H1" s="4" t="str">
        <f>"成交金额"</f>
        <v>成交金额</v>
      </c>
      <c r="I1" s="4" t="str">
        <f>"发生金额"</f>
        <v>发生金额</v>
      </c>
      <c r="J1" s="4" t="str">
        <f>"资金余额"</f>
        <v>资金余额</v>
      </c>
      <c r="K1" s="4" t="str">
        <f>"当前持仓"</f>
        <v>当前持仓</v>
      </c>
      <c r="L1" s="4" t="str">
        <f>"币种"</f>
        <v>币种</v>
      </c>
      <c r="M1" s="4" t="str">
        <f>"协议编号"</f>
        <v>协议编号</v>
      </c>
      <c r="N1" s="4" t="str">
        <f>"股东代码"</f>
        <v>股东代码</v>
      </c>
      <c r="O1" s="4" t="str">
        <f>"产品账号"</f>
        <v>产品账号</v>
      </c>
    </row>
    <row r="2" spans="1:15">
      <c r="A2" s="4" t="str">
        <f>"20180102"</f>
        <v>20180102</v>
      </c>
      <c r="B2" s="4" t="str">
        <f>"20180102"</f>
        <v>20180102</v>
      </c>
      <c r="C2" s="4" t="str">
        <f>"基金申购拨出"</f>
        <v>基金申购拨出</v>
      </c>
      <c r="D2" s="4" t="str">
        <f t="shared" ref="D2:D6" si="0">"AA0007"</f>
        <v>AA0007</v>
      </c>
      <c r="E2" s="4" t="str">
        <f t="shared" ref="E2:E6" si="1">"银河水星1号集合"</f>
        <v>银河水星1号集合</v>
      </c>
      <c r="F2" s="4">
        <v>0</v>
      </c>
      <c r="G2" s="4">
        <v>0</v>
      </c>
      <c r="H2" s="4">
        <v>0</v>
      </c>
      <c r="I2" s="4">
        <v>-31269.3</v>
      </c>
      <c r="J2" s="4">
        <v>-31269.3</v>
      </c>
      <c r="K2" s="4">
        <v>0</v>
      </c>
      <c r="L2" s="4" t="str">
        <f t="shared" ref="L2:L65" si="2">"人民币"</f>
        <v>人民币</v>
      </c>
      <c r="N2" s="4" t="str">
        <f t="shared" ref="N2:N6" si="3">"980149593788"</f>
        <v>980149593788</v>
      </c>
      <c r="O2" s="4" t="str">
        <f t="shared" ref="O2:O65" si="4">"300100052893"</f>
        <v>300100052893</v>
      </c>
    </row>
    <row r="3" spans="1:15">
      <c r="A3" s="4" t="str">
        <f>"20180102"</f>
        <v>20180102</v>
      </c>
      <c r="B3" s="4" t="str">
        <f>"20180102"</f>
        <v>20180102</v>
      </c>
      <c r="C3" s="4" t="str">
        <f>"证券卖出"</f>
        <v>证券卖出</v>
      </c>
      <c r="D3" s="4" t="str">
        <f>"150182"</f>
        <v>150182</v>
      </c>
      <c r="E3" s="4" t="str">
        <f>"军工B"</f>
        <v>军工B</v>
      </c>
      <c r="F3" s="4">
        <v>0.782</v>
      </c>
      <c r="G3" s="4">
        <v>40000</v>
      </c>
      <c r="H3" s="4">
        <v>31280</v>
      </c>
      <c r="I3" s="4">
        <v>31270.3</v>
      </c>
      <c r="J3" s="4">
        <v>1</v>
      </c>
      <c r="K3" s="4">
        <v>0</v>
      </c>
      <c r="L3" s="4" t="str">
        <f t="shared" si="2"/>
        <v>人民币</v>
      </c>
      <c r="M3" s="4" t="str">
        <f>"T4004831"</f>
        <v>T4004831</v>
      </c>
      <c r="N3" s="4" t="str">
        <f t="shared" ref="N3:N8" si="5">"0149593788"</f>
        <v>0149593788</v>
      </c>
      <c r="O3" s="4" t="str">
        <f t="shared" si="4"/>
        <v>300100052893</v>
      </c>
    </row>
    <row r="4" spans="1:15">
      <c r="A4" s="4" t="str">
        <f>"20180103"</f>
        <v>20180103</v>
      </c>
      <c r="B4" s="4" t="str">
        <f>"20180103"</f>
        <v>20180103</v>
      </c>
      <c r="C4" s="4" t="str">
        <f>"基金赎回拨入"</f>
        <v>基金赎回拨入</v>
      </c>
      <c r="D4" s="4" t="str">
        <f t="shared" si="0"/>
        <v>AA0007</v>
      </c>
      <c r="E4" s="4" t="str">
        <f t="shared" si="1"/>
        <v>银河水星1号集合</v>
      </c>
      <c r="F4" s="4">
        <v>0</v>
      </c>
      <c r="G4" s="4">
        <v>17155</v>
      </c>
      <c r="H4" s="4">
        <v>0</v>
      </c>
      <c r="I4" s="4">
        <v>17155.32</v>
      </c>
      <c r="J4" s="4">
        <v>17156.32</v>
      </c>
      <c r="K4" s="4">
        <v>0</v>
      </c>
      <c r="L4" s="4" t="str">
        <f t="shared" si="2"/>
        <v>人民币</v>
      </c>
      <c r="N4" s="4" t="str">
        <f t="shared" si="3"/>
        <v>980149593788</v>
      </c>
      <c r="O4" s="4" t="str">
        <f t="shared" si="4"/>
        <v>300100052893</v>
      </c>
    </row>
    <row r="5" spans="1:15">
      <c r="A5" s="4" t="str">
        <f>"20180103"</f>
        <v>20180103</v>
      </c>
      <c r="B5" s="4" t="str">
        <f>"20180103"</f>
        <v>20180103</v>
      </c>
      <c r="C5" s="4" t="str">
        <f>"证券买入"</f>
        <v>证券买入</v>
      </c>
      <c r="D5" s="4" t="str">
        <f>"000768"</f>
        <v>000768</v>
      </c>
      <c r="E5" s="4" t="str">
        <f>"中航飞机"</f>
        <v>中航飞机</v>
      </c>
      <c r="F5" s="4">
        <v>17.15</v>
      </c>
      <c r="G5" s="4">
        <v>1000</v>
      </c>
      <c r="H5" s="4">
        <v>17150</v>
      </c>
      <c r="I5" s="4">
        <v>-17155.32</v>
      </c>
      <c r="J5" s="4">
        <v>1</v>
      </c>
      <c r="K5" s="4">
        <v>2000</v>
      </c>
      <c r="L5" s="4" t="str">
        <f t="shared" si="2"/>
        <v>人民币</v>
      </c>
      <c r="M5" s="4" t="str">
        <f>"T4000501"</f>
        <v>T4000501</v>
      </c>
      <c r="N5" s="4" t="str">
        <f t="shared" si="5"/>
        <v>0149593788</v>
      </c>
      <c r="O5" s="4" t="str">
        <f t="shared" si="4"/>
        <v>300100052893</v>
      </c>
    </row>
    <row r="6" spans="1:15">
      <c r="A6" s="4" t="str">
        <f t="shared" ref="A6:A8" si="6">"20180108"</f>
        <v>20180108</v>
      </c>
      <c r="B6" s="4" t="str">
        <f>"20180108"</f>
        <v>20180108</v>
      </c>
      <c r="C6" s="4" t="str">
        <f>"基金申购拨出"</f>
        <v>基金申购拨出</v>
      </c>
      <c r="D6" s="4" t="str">
        <f t="shared" si="0"/>
        <v>AA0007</v>
      </c>
      <c r="E6" s="4" t="str">
        <f t="shared" si="1"/>
        <v>银河水星1号集合</v>
      </c>
      <c r="F6" s="4">
        <v>0</v>
      </c>
      <c r="G6" s="4">
        <v>0</v>
      </c>
      <c r="H6" s="4">
        <v>0</v>
      </c>
      <c r="I6" s="4">
        <v>-5707.76</v>
      </c>
      <c r="J6" s="4">
        <v>-5706.76</v>
      </c>
      <c r="K6" s="4">
        <v>0</v>
      </c>
      <c r="L6" s="4" t="str">
        <f t="shared" si="2"/>
        <v>人民币</v>
      </c>
      <c r="N6" s="4" t="str">
        <f t="shared" si="3"/>
        <v>980149593788</v>
      </c>
      <c r="O6" s="4" t="str">
        <f t="shared" si="4"/>
        <v>300100052893</v>
      </c>
    </row>
    <row r="7" spans="1:15">
      <c r="A7" s="4" t="str">
        <f t="shared" si="6"/>
        <v>20180108</v>
      </c>
      <c r="B7" s="4" t="str">
        <f>"20180108"</f>
        <v>20180108</v>
      </c>
      <c r="C7" s="4" t="str">
        <f>"证券卖出"</f>
        <v>证券卖出</v>
      </c>
      <c r="D7" s="4" t="str">
        <f>"000768"</f>
        <v>000768</v>
      </c>
      <c r="E7" s="4" t="str">
        <f>"中航飞机"</f>
        <v>中航飞机</v>
      </c>
      <c r="F7" s="4">
        <v>16.98</v>
      </c>
      <c r="G7" s="4">
        <v>1000</v>
      </c>
      <c r="H7" s="4">
        <v>16980</v>
      </c>
      <c r="I7" s="4">
        <v>16957.76</v>
      </c>
      <c r="J7" s="4">
        <v>11251</v>
      </c>
      <c r="K7" s="4">
        <v>1000</v>
      </c>
      <c r="L7" s="4" t="str">
        <f t="shared" si="2"/>
        <v>人民币</v>
      </c>
      <c r="M7" s="4" t="str">
        <f>"T4001672"</f>
        <v>T4001672</v>
      </c>
      <c r="N7" s="4" t="str">
        <f t="shared" si="5"/>
        <v>0149593788</v>
      </c>
      <c r="O7" s="4" t="str">
        <f t="shared" si="4"/>
        <v>300100052893</v>
      </c>
    </row>
    <row r="8" spans="1:15">
      <c r="A8" s="4" t="str">
        <f t="shared" si="6"/>
        <v>20180108</v>
      </c>
      <c r="B8" s="4" t="str">
        <f t="shared" ref="B8:B13" si="7">"20180104"</f>
        <v>20180104</v>
      </c>
      <c r="C8" s="4" t="str">
        <f>"配售缴款"</f>
        <v>配售缴款</v>
      </c>
      <c r="D8" s="4" t="str">
        <f t="shared" ref="D8:D13" si="8">"002925"</f>
        <v>002925</v>
      </c>
      <c r="E8" s="4" t="str">
        <f t="shared" ref="E8:E13" si="9">"盈趣科技"</f>
        <v>盈趣科技</v>
      </c>
      <c r="F8" s="4">
        <v>22.5</v>
      </c>
      <c r="G8" s="4">
        <v>500</v>
      </c>
      <c r="H8" s="4">
        <v>11250</v>
      </c>
      <c r="I8" s="4">
        <v>-11250</v>
      </c>
      <c r="J8" s="4">
        <v>1</v>
      </c>
      <c r="K8" s="4">
        <v>0</v>
      </c>
      <c r="L8" s="4" t="str">
        <f t="shared" si="2"/>
        <v>人民币</v>
      </c>
      <c r="M8" s="4" t="str">
        <f>"T4005175"</f>
        <v>T4005175</v>
      </c>
      <c r="N8" s="4" t="str">
        <f t="shared" si="5"/>
        <v>0149593788</v>
      </c>
      <c r="O8" s="4" t="str">
        <f t="shared" si="4"/>
        <v>300100052893</v>
      </c>
    </row>
    <row r="9" spans="1:15">
      <c r="A9" s="4" t="str">
        <f t="shared" ref="A9:A11" si="10">"20180109"</f>
        <v>20180109</v>
      </c>
      <c r="B9" s="4" t="str">
        <f>"20180109"</f>
        <v>20180109</v>
      </c>
      <c r="C9" s="4" t="str">
        <f>"基金赎回拨入"</f>
        <v>基金赎回拨入</v>
      </c>
      <c r="D9" s="4" t="str">
        <f>"AA0007"</f>
        <v>AA0007</v>
      </c>
      <c r="E9" s="4" t="str">
        <f>"银河水星1号集合"</f>
        <v>银河水星1号集合</v>
      </c>
      <c r="F9" s="4">
        <v>0</v>
      </c>
      <c r="G9" s="4">
        <v>31889</v>
      </c>
      <c r="H9" s="4">
        <v>0</v>
      </c>
      <c r="I9" s="4">
        <v>31889.88</v>
      </c>
      <c r="J9" s="4">
        <v>31890.88</v>
      </c>
      <c r="K9" s="4">
        <v>0</v>
      </c>
      <c r="L9" s="4" t="str">
        <f t="shared" si="2"/>
        <v>人民币</v>
      </c>
      <c r="N9" s="4" t="str">
        <f>"980149593788"</f>
        <v>980149593788</v>
      </c>
      <c r="O9" s="4" t="str">
        <f t="shared" si="4"/>
        <v>300100052893</v>
      </c>
    </row>
    <row r="10" spans="1:15">
      <c r="A10" s="4" t="str">
        <f t="shared" si="10"/>
        <v>20180109</v>
      </c>
      <c r="B10" s="4" t="str">
        <f t="shared" si="7"/>
        <v>20180104</v>
      </c>
      <c r="C10" s="4" t="str">
        <f>"配售股份"</f>
        <v>配售股份</v>
      </c>
      <c r="D10" s="4" t="str">
        <f t="shared" si="8"/>
        <v>002925</v>
      </c>
      <c r="E10" s="4" t="str">
        <f t="shared" si="9"/>
        <v>盈趣科技</v>
      </c>
      <c r="F10" s="4">
        <v>22.5</v>
      </c>
      <c r="G10" s="4">
        <v>500</v>
      </c>
      <c r="H10" s="4">
        <v>11250</v>
      </c>
      <c r="I10" s="4">
        <v>0</v>
      </c>
      <c r="J10" s="4">
        <v>31890.88</v>
      </c>
      <c r="K10" s="4">
        <v>500</v>
      </c>
      <c r="L10" s="4" t="str">
        <f t="shared" si="2"/>
        <v>人民币</v>
      </c>
      <c r="M10" s="4" t="str">
        <f>"T4005175"</f>
        <v>T4005175</v>
      </c>
      <c r="N10" s="4" t="str">
        <f t="shared" ref="N10:N15" si="11">"0149593788"</f>
        <v>0149593788</v>
      </c>
      <c r="O10" s="4" t="str">
        <f t="shared" si="4"/>
        <v>300100052893</v>
      </c>
    </row>
    <row r="11" spans="1:15">
      <c r="A11" s="4" t="str">
        <f t="shared" si="10"/>
        <v>20180109</v>
      </c>
      <c r="B11" s="4" t="str">
        <f>"20180109"</f>
        <v>20180109</v>
      </c>
      <c r="C11" s="4" t="str">
        <f>"证券买入"</f>
        <v>证券买入</v>
      </c>
      <c r="D11" s="4" t="str">
        <f>"150182"</f>
        <v>150182</v>
      </c>
      <c r="E11" s="4" t="str">
        <f>"军工B"</f>
        <v>军工B</v>
      </c>
      <c r="F11" s="4">
        <v>0.797</v>
      </c>
      <c r="G11" s="4">
        <v>40000</v>
      </c>
      <c r="H11" s="4">
        <v>31880</v>
      </c>
      <c r="I11" s="4">
        <v>-31889.88</v>
      </c>
      <c r="J11" s="4">
        <v>1</v>
      </c>
      <c r="K11" s="4">
        <v>40000</v>
      </c>
      <c r="L11" s="4" t="str">
        <f t="shared" si="2"/>
        <v>人民币</v>
      </c>
      <c r="M11" s="4" t="str">
        <f>"T4003993"</f>
        <v>T4003993</v>
      </c>
      <c r="N11" s="4" t="str">
        <f t="shared" si="11"/>
        <v>0149593788</v>
      </c>
      <c r="O11" s="4" t="str">
        <f t="shared" si="4"/>
        <v>300100052893</v>
      </c>
    </row>
    <row r="12" spans="1:15">
      <c r="A12" s="4" t="str">
        <f t="shared" ref="A12:A15" si="12">"20180110"</f>
        <v>20180110</v>
      </c>
      <c r="B12" s="4" t="str">
        <f t="shared" ref="B12:B15" si="13">"20180110"</f>
        <v>20180110</v>
      </c>
      <c r="C12" s="4" t="str">
        <f>"基金申购拨出"</f>
        <v>基金申购拨出</v>
      </c>
      <c r="D12" s="4" t="str">
        <f>"AA0007"</f>
        <v>AA0007</v>
      </c>
      <c r="E12" s="4" t="str">
        <f>"银河水星1号集合"</f>
        <v>银河水星1号集合</v>
      </c>
      <c r="F12" s="4">
        <v>0</v>
      </c>
      <c r="G12" s="4">
        <v>0</v>
      </c>
      <c r="H12" s="4">
        <v>0</v>
      </c>
      <c r="I12" s="4">
        <v>-14255.1</v>
      </c>
      <c r="J12" s="4">
        <v>-14254.1</v>
      </c>
      <c r="K12" s="4">
        <v>0</v>
      </c>
      <c r="L12" s="4" t="str">
        <f t="shared" si="2"/>
        <v>人民币</v>
      </c>
      <c r="N12" s="4" t="str">
        <f>"980149593788"</f>
        <v>980149593788</v>
      </c>
      <c r="O12" s="4" t="str">
        <f t="shared" si="4"/>
        <v>300100052893</v>
      </c>
    </row>
    <row r="13" spans="1:15">
      <c r="A13" s="4" t="str">
        <f t="shared" si="12"/>
        <v>20180110</v>
      </c>
      <c r="B13" s="4" t="str">
        <f t="shared" si="7"/>
        <v>20180104</v>
      </c>
      <c r="C13" s="4" t="str">
        <f>"新股入帐"</f>
        <v>新股入帐</v>
      </c>
      <c r="D13" s="4" t="str">
        <f t="shared" si="8"/>
        <v>002925</v>
      </c>
      <c r="E13" s="4" t="str">
        <f t="shared" si="9"/>
        <v>盈趣科技</v>
      </c>
      <c r="F13" s="4">
        <v>22.5</v>
      </c>
      <c r="G13" s="4">
        <v>500</v>
      </c>
      <c r="H13" s="4">
        <v>0</v>
      </c>
      <c r="I13" s="4">
        <v>0</v>
      </c>
      <c r="J13" s="4">
        <v>-14254.1</v>
      </c>
      <c r="K13" s="4">
        <v>500</v>
      </c>
      <c r="L13" s="4" t="str">
        <f t="shared" si="2"/>
        <v>人民币</v>
      </c>
      <c r="N13" s="4" t="str">
        <f t="shared" si="11"/>
        <v>0149593788</v>
      </c>
      <c r="O13" s="4" t="str">
        <f t="shared" si="4"/>
        <v>300100052893</v>
      </c>
    </row>
    <row r="14" spans="1:15">
      <c r="A14" s="4" t="str">
        <f t="shared" si="12"/>
        <v>20180110</v>
      </c>
      <c r="B14" s="4" t="str">
        <f t="shared" si="13"/>
        <v>20180110</v>
      </c>
      <c r="C14" s="4" t="str">
        <f>"证券卖出"</f>
        <v>证券卖出</v>
      </c>
      <c r="D14" s="4" t="str">
        <f>"150182"</f>
        <v>150182</v>
      </c>
      <c r="E14" s="4" t="str">
        <f>"军工B"</f>
        <v>军工B</v>
      </c>
      <c r="F14" s="4">
        <v>0.779</v>
      </c>
      <c r="G14" s="4">
        <v>40000</v>
      </c>
      <c r="H14" s="4">
        <v>31160</v>
      </c>
      <c r="I14" s="4">
        <v>31150.34</v>
      </c>
      <c r="J14" s="4">
        <v>16896.24</v>
      </c>
      <c r="K14" s="4">
        <v>0</v>
      </c>
      <c r="L14" s="4" t="str">
        <f t="shared" si="2"/>
        <v>人民币</v>
      </c>
      <c r="M14" s="4" t="str">
        <f>"T4007221"</f>
        <v>T4007221</v>
      </c>
      <c r="N14" s="4" t="str">
        <f t="shared" si="11"/>
        <v>0149593788</v>
      </c>
      <c r="O14" s="4" t="str">
        <f t="shared" si="4"/>
        <v>300100052893</v>
      </c>
    </row>
    <row r="15" spans="1:15">
      <c r="A15" s="4" t="str">
        <f t="shared" si="12"/>
        <v>20180110</v>
      </c>
      <c r="B15" s="4" t="str">
        <f t="shared" si="13"/>
        <v>20180110</v>
      </c>
      <c r="C15" s="4" t="str">
        <f>"证券买入"</f>
        <v>证券买入</v>
      </c>
      <c r="D15" s="4" t="str">
        <f>"000768"</f>
        <v>000768</v>
      </c>
      <c r="E15" s="4" t="str">
        <f>"中航飞机"</f>
        <v>中航飞机</v>
      </c>
      <c r="F15" s="4">
        <v>16.89</v>
      </c>
      <c r="G15" s="4">
        <v>1000</v>
      </c>
      <c r="H15" s="4">
        <v>16890</v>
      </c>
      <c r="I15" s="4">
        <v>-16895.24</v>
      </c>
      <c r="J15" s="4">
        <v>1</v>
      </c>
      <c r="K15" s="4">
        <v>2000</v>
      </c>
      <c r="L15" s="4" t="str">
        <f t="shared" si="2"/>
        <v>人民币</v>
      </c>
      <c r="M15" s="4" t="str">
        <f>"T4011392"</f>
        <v>T4011392</v>
      </c>
      <c r="N15" s="4" t="str">
        <f t="shared" si="11"/>
        <v>0149593788</v>
      </c>
      <c r="O15" s="4" t="str">
        <f t="shared" si="4"/>
        <v>300100052893</v>
      </c>
    </row>
    <row r="16" spans="1:15">
      <c r="A16" s="4" t="str">
        <f t="shared" ref="A16:A18" si="14">"20180111"</f>
        <v>20180111</v>
      </c>
      <c r="B16" s="4" t="str">
        <f t="shared" ref="B16:B18" si="15">"20180111"</f>
        <v>20180111</v>
      </c>
      <c r="C16" s="4" t="str">
        <f>"基金申购拨出"</f>
        <v>基金申购拨出</v>
      </c>
      <c r="D16" s="4" t="str">
        <f>"AA0007"</f>
        <v>AA0007</v>
      </c>
      <c r="E16" s="4" t="str">
        <f>"银河水星1号集合"</f>
        <v>银河水星1号集合</v>
      </c>
      <c r="F16" s="4">
        <v>0</v>
      </c>
      <c r="G16" s="4">
        <v>0</v>
      </c>
      <c r="H16" s="4">
        <v>0</v>
      </c>
      <c r="I16" s="4">
        <v>-5062.72</v>
      </c>
      <c r="J16" s="4">
        <v>-5061.72</v>
      </c>
      <c r="K16" s="4">
        <v>0</v>
      </c>
      <c r="L16" s="4" t="str">
        <f t="shared" si="2"/>
        <v>人民币</v>
      </c>
      <c r="N16" s="4" t="str">
        <f>"980149593788"</f>
        <v>980149593788</v>
      </c>
      <c r="O16" s="4" t="str">
        <f t="shared" si="4"/>
        <v>300100052893</v>
      </c>
    </row>
    <row r="17" spans="1:15">
      <c r="A17" s="4" t="str">
        <f t="shared" si="14"/>
        <v>20180111</v>
      </c>
      <c r="B17" s="4" t="str">
        <f t="shared" si="15"/>
        <v>20180111</v>
      </c>
      <c r="C17" s="4" t="str">
        <f>"证券卖出"</f>
        <v>证券卖出</v>
      </c>
      <c r="D17" s="4" t="str">
        <f>"000768"</f>
        <v>000768</v>
      </c>
      <c r="E17" s="4" t="str">
        <f>"中航飞机"</f>
        <v>中航飞机</v>
      </c>
      <c r="F17" s="4">
        <v>17.01</v>
      </c>
      <c r="G17" s="4">
        <v>1000</v>
      </c>
      <c r="H17" s="4">
        <v>17010</v>
      </c>
      <c r="I17" s="4">
        <v>16987.72</v>
      </c>
      <c r="J17" s="4">
        <v>11926</v>
      </c>
      <c r="K17" s="4">
        <v>1000</v>
      </c>
      <c r="L17" s="4" t="str">
        <f t="shared" si="2"/>
        <v>人民币</v>
      </c>
      <c r="M17" s="4" t="str">
        <f>"T4005030"</f>
        <v>T4005030</v>
      </c>
      <c r="N17" s="4" t="str">
        <f t="shared" ref="N17:N21" si="16">"0149593788"</f>
        <v>0149593788</v>
      </c>
      <c r="O17" s="4" t="str">
        <f t="shared" si="4"/>
        <v>300100052893</v>
      </c>
    </row>
    <row r="18" spans="1:15">
      <c r="A18" s="4" t="str">
        <f t="shared" si="14"/>
        <v>20180111</v>
      </c>
      <c r="B18" s="4" t="str">
        <f t="shared" si="15"/>
        <v>20180111</v>
      </c>
      <c r="C18" s="4" t="str">
        <f>"证券买入"</f>
        <v>证券买入</v>
      </c>
      <c r="D18" s="4" t="str">
        <f>"150153"</f>
        <v>150153</v>
      </c>
      <c r="E18" s="4" t="str">
        <f>"创业板B"</f>
        <v>创业板B</v>
      </c>
      <c r="F18" s="4">
        <v>0.596</v>
      </c>
      <c r="G18" s="4">
        <v>20000</v>
      </c>
      <c r="H18" s="4">
        <v>11920</v>
      </c>
      <c r="I18" s="4">
        <v>-11925</v>
      </c>
      <c r="J18" s="4">
        <v>1</v>
      </c>
      <c r="K18" s="4">
        <v>40000</v>
      </c>
      <c r="L18" s="4" t="str">
        <f t="shared" si="2"/>
        <v>人民币</v>
      </c>
      <c r="M18" s="4" t="str">
        <f>"T4005443"</f>
        <v>T4005443</v>
      </c>
      <c r="N18" s="4" t="str">
        <f t="shared" si="16"/>
        <v>0149593788</v>
      </c>
      <c r="O18" s="4" t="str">
        <f t="shared" si="4"/>
        <v>300100052893</v>
      </c>
    </row>
    <row r="19" spans="1:15">
      <c r="A19" s="4" t="str">
        <f>"20180115"</f>
        <v>20180115</v>
      </c>
      <c r="B19" s="4" t="str">
        <f>"20180115"</f>
        <v>20180115</v>
      </c>
      <c r="C19" s="4" t="str">
        <f>"基金申购拨出"</f>
        <v>基金申购拨出</v>
      </c>
      <c r="D19" s="4" t="str">
        <f t="shared" ref="D19:D24" si="17">"AA0007"</f>
        <v>AA0007</v>
      </c>
      <c r="E19" s="4" t="str">
        <f t="shared" ref="E19:E24" si="18">"银河水星1号集合"</f>
        <v>银河水星1号集合</v>
      </c>
      <c r="F19" s="4">
        <v>0</v>
      </c>
      <c r="G19" s="4">
        <v>0</v>
      </c>
      <c r="H19" s="4">
        <v>0</v>
      </c>
      <c r="I19" s="4">
        <v>-1118.38</v>
      </c>
      <c r="J19" s="4">
        <v>-1117.38</v>
      </c>
      <c r="K19" s="4">
        <v>0</v>
      </c>
      <c r="L19" s="4" t="str">
        <f t="shared" si="2"/>
        <v>人民币</v>
      </c>
      <c r="N19" s="4" t="str">
        <f t="shared" ref="N19:N24" si="19">"980149593788"</f>
        <v>980149593788</v>
      </c>
      <c r="O19" s="4" t="str">
        <f t="shared" si="4"/>
        <v>300100052893</v>
      </c>
    </row>
    <row r="20" spans="1:15">
      <c r="A20" s="4" t="str">
        <f>"20180115"</f>
        <v>20180115</v>
      </c>
      <c r="B20" s="4" t="str">
        <f>"20180115"</f>
        <v>20180115</v>
      </c>
      <c r="C20" s="4" t="str">
        <f>"证券卖出"</f>
        <v>证券卖出</v>
      </c>
      <c r="D20" s="4" t="str">
        <f>"128024"</f>
        <v>128024</v>
      </c>
      <c r="E20" s="4" t="str">
        <f>"宁行转债"</f>
        <v>宁行转债</v>
      </c>
      <c r="F20" s="4">
        <v>111.95</v>
      </c>
      <c r="G20" s="4">
        <v>10</v>
      </c>
      <c r="H20" s="4">
        <v>1119.5</v>
      </c>
      <c r="I20" s="4">
        <v>1118.38</v>
      </c>
      <c r="J20" s="4">
        <v>1</v>
      </c>
      <c r="K20" s="4">
        <v>0</v>
      </c>
      <c r="L20" s="4" t="str">
        <f t="shared" si="2"/>
        <v>人民币</v>
      </c>
      <c r="M20" s="4" t="str">
        <f>"T4000366"</f>
        <v>T4000366</v>
      </c>
      <c r="N20" s="4" t="str">
        <f t="shared" si="16"/>
        <v>0149593788</v>
      </c>
      <c r="O20" s="4" t="str">
        <f t="shared" si="4"/>
        <v>300100052893</v>
      </c>
    </row>
    <row r="21" spans="1:15">
      <c r="A21" s="4" t="str">
        <f t="shared" ref="A21:A23" si="20">"20180116"</f>
        <v>20180116</v>
      </c>
      <c r="B21" s="4" t="str">
        <f t="shared" ref="B21:B23" si="21">"20180116"</f>
        <v>20180116</v>
      </c>
      <c r="C21" s="4" t="str">
        <f>"删除过期证券"</f>
        <v>删除过期证券</v>
      </c>
      <c r="D21" s="4" t="str">
        <f>"072142"</f>
        <v>072142</v>
      </c>
      <c r="E21" s="4" t="str">
        <f>"宁行发债"</f>
        <v>宁行发债</v>
      </c>
      <c r="F21" s="4">
        <v>0</v>
      </c>
      <c r="G21" s="4">
        <v>0</v>
      </c>
      <c r="H21" s="4">
        <v>0</v>
      </c>
      <c r="I21" s="4">
        <v>0</v>
      </c>
      <c r="J21" s="4">
        <v>1</v>
      </c>
      <c r="K21" s="4">
        <v>0</v>
      </c>
      <c r="L21" s="4" t="str">
        <f t="shared" si="2"/>
        <v>人民币</v>
      </c>
      <c r="N21" s="4" t="str">
        <f t="shared" si="16"/>
        <v>0149593788</v>
      </c>
      <c r="O21" s="4" t="str">
        <f t="shared" si="4"/>
        <v>300100052893</v>
      </c>
    </row>
    <row r="22" spans="1:15">
      <c r="A22" s="4" t="str">
        <f t="shared" si="20"/>
        <v>20180116</v>
      </c>
      <c r="B22" s="4" t="str">
        <f t="shared" si="21"/>
        <v>20180116</v>
      </c>
      <c r="C22" s="4" t="str">
        <f>"基金赎回拨入"</f>
        <v>基金赎回拨入</v>
      </c>
      <c r="D22" s="4" t="str">
        <f t="shared" si="17"/>
        <v>AA0007</v>
      </c>
      <c r="E22" s="4" t="str">
        <f t="shared" si="18"/>
        <v>银河水星1号集合</v>
      </c>
      <c r="F22" s="4">
        <v>0</v>
      </c>
      <c r="G22" s="4">
        <v>15345</v>
      </c>
      <c r="H22" s="4">
        <v>0</v>
      </c>
      <c r="I22" s="4">
        <v>15345</v>
      </c>
      <c r="J22" s="4">
        <v>15346</v>
      </c>
      <c r="K22" s="4">
        <v>0</v>
      </c>
      <c r="L22" s="4" t="str">
        <f t="shared" si="2"/>
        <v>人民币</v>
      </c>
      <c r="N22" s="4" t="str">
        <f t="shared" si="19"/>
        <v>980149593788</v>
      </c>
      <c r="O22" s="4" t="str">
        <f t="shared" si="4"/>
        <v>300100052893</v>
      </c>
    </row>
    <row r="23" spans="1:15">
      <c r="A23" s="4" t="str">
        <f t="shared" si="20"/>
        <v>20180116</v>
      </c>
      <c r="B23" s="4" t="str">
        <f t="shared" si="21"/>
        <v>20180116</v>
      </c>
      <c r="C23" s="4" t="str">
        <f t="shared" ref="C23:C27" si="22">"证券买入"</f>
        <v>证券买入</v>
      </c>
      <c r="D23" s="4" t="str">
        <f t="shared" ref="D23:D27" si="23">"000768"</f>
        <v>000768</v>
      </c>
      <c r="E23" s="4" t="str">
        <f t="shared" ref="E23:E27" si="24">"中航飞机"</f>
        <v>中航飞机</v>
      </c>
      <c r="F23" s="4">
        <v>15.34</v>
      </c>
      <c r="G23" s="4">
        <v>1000</v>
      </c>
      <c r="H23" s="4">
        <v>15340</v>
      </c>
      <c r="I23" s="4">
        <v>-15345</v>
      </c>
      <c r="J23" s="4">
        <v>1</v>
      </c>
      <c r="K23" s="4">
        <v>2000</v>
      </c>
      <c r="L23" s="4" t="str">
        <f t="shared" si="2"/>
        <v>人民币</v>
      </c>
      <c r="M23" s="4" t="str">
        <f>"T4010571"</f>
        <v>T4010571</v>
      </c>
      <c r="N23" s="4" t="str">
        <f t="shared" ref="N23:N27" si="25">"0149593788"</f>
        <v>0149593788</v>
      </c>
      <c r="O23" s="4" t="str">
        <f t="shared" si="4"/>
        <v>300100052893</v>
      </c>
    </row>
    <row r="24" spans="1:15">
      <c r="A24" s="4" t="str">
        <f t="shared" ref="A24:A27" si="26">"20180117"</f>
        <v>20180117</v>
      </c>
      <c r="B24" s="4" t="str">
        <f t="shared" ref="B24:B27" si="27">"20180117"</f>
        <v>20180117</v>
      </c>
      <c r="C24" s="4" t="str">
        <f>"基金赎回拨入"</f>
        <v>基金赎回拨入</v>
      </c>
      <c r="D24" s="4" t="str">
        <f t="shared" si="17"/>
        <v>AA0007</v>
      </c>
      <c r="E24" s="4" t="str">
        <f t="shared" si="18"/>
        <v>银河水星1号集合</v>
      </c>
      <c r="F24" s="4">
        <v>0</v>
      </c>
      <c r="G24" s="4">
        <v>15330</v>
      </c>
      <c r="H24" s="4">
        <v>0</v>
      </c>
      <c r="I24" s="4">
        <v>15330.56</v>
      </c>
      <c r="J24" s="4">
        <v>15331.56</v>
      </c>
      <c r="K24" s="4">
        <v>0</v>
      </c>
      <c r="L24" s="4" t="str">
        <f t="shared" si="2"/>
        <v>人民币</v>
      </c>
      <c r="N24" s="4" t="str">
        <f t="shared" si="19"/>
        <v>980149593788</v>
      </c>
      <c r="O24" s="4" t="str">
        <f t="shared" si="4"/>
        <v>300100052893</v>
      </c>
    </row>
    <row r="25" spans="1:15">
      <c r="A25" s="4" t="str">
        <f t="shared" si="26"/>
        <v>20180117</v>
      </c>
      <c r="B25" s="4" t="str">
        <f t="shared" si="27"/>
        <v>20180117</v>
      </c>
      <c r="C25" s="4" t="str">
        <f t="shared" si="22"/>
        <v>证券买入</v>
      </c>
      <c r="D25" s="4" t="str">
        <f t="shared" si="23"/>
        <v>000768</v>
      </c>
      <c r="E25" s="4" t="str">
        <f t="shared" si="24"/>
        <v>中航飞机</v>
      </c>
      <c r="F25" s="4">
        <v>15.36</v>
      </c>
      <c r="G25" s="4">
        <v>1000</v>
      </c>
      <c r="H25" s="4">
        <v>15360</v>
      </c>
      <c r="I25" s="4">
        <v>-15365</v>
      </c>
      <c r="J25" s="4">
        <v>-33.44</v>
      </c>
      <c r="K25" s="4">
        <v>3000</v>
      </c>
      <c r="L25" s="4" t="str">
        <f t="shared" si="2"/>
        <v>人民币</v>
      </c>
      <c r="M25" s="4" t="str">
        <f>"T4004256"</f>
        <v>T4004256</v>
      </c>
      <c r="N25" s="4" t="str">
        <f t="shared" si="25"/>
        <v>0149593788</v>
      </c>
      <c r="O25" s="4" t="str">
        <f t="shared" si="4"/>
        <v>300100052893</v>
      </c>
    </row>
    <row r="26" spans="1:15">
      <c r="A26" s="4" t="str">
        <f t="shared" si="26"/>
        <v>20180117</v>
      </c>
      <c r="B26" s="4" t="str">
        <f t="shared" si="27"/>
        <v>20180117</v>
      </c>
      <c r="C26" s="4" t="str">
        <f>"证券卖出"</f>
        <v>证券卖出</v>
      </c>
      <c r="D26" s="4" t="str">
        <f t="shared" si="23"/>
        <v>000768</v>
      </c>
      <c r="E26" s="4" t="str">
        <f t="shared" si="24"/>
        <v>中航飞机</v>
      </c>
      <c r="F26" s="4">
        <v>15.56</v>
      </c>
      <c r="G26" s="4">
        <v>1000</v>
      </c>
      <c r="H26" s="4">
        <v>15560</v>
      </c>
      <c r="I26" s="4">
        <v>15539.43</v>
      </c>
      <c r="J26" s="4">
        <v>15505.99</v>
      </c>
      <c r="K26" s="4">
        <v>2000</v>
      </c>
      <c r="L26" s="4" t="str">
        <f t="shared" si="2"/>
        <v>人民币</v>
      </c>
      <c r="M26" s="4" t="str">
        <f>"T4006760"</f>
        <v>T4006760</v>
      </c>
      <c r="N26" s="4" t="str">
        <f t="shared" si="25"/>
        <v>0149593788</v>
      </c>
      <c r="O26" s="4" t="str">
        <f t="shared" si="4"/>
        <v>300100052893</v>
      </c>
    </row>
    <row r="27" spans="1:15">
      <c r="A27" s="4" t="str">
        <f t="shared" si="26"/>
        <v>20180117</v>
      </c>
      <c r="B27" s="4" t="str">
        <f t="shared" si="27"/>
        <v>20180117</v>
      </c>
      <c r="C27" s="4" t="str">
        <f t="shared" si="22"/>
        <v>证券买入</v>
      </c>
      <c r="D27" s="4" t="str">
        <f t="shared" si="23"/>
        <v>000768</v>
      </c>
      <c r="E27" s="4" t="str">
        <f t="shared" si="24"/>
        <v>中航飞机</v>
      </c>
      <c r="F27" s="4">
        <v>15.5</v>
      </c>
      <c r="G27" s="4">
        <v>1000</v>
      </c>
      <c r="H27" s="4">
        <v>15500</v>
      </c>
      <c r="I27" s="4">
        <v>-15505</v>
      </c>
      <c r="J27" s="4">
        <v>0.99</v>
      </c>
      <c r="K27" s="4">
        <v>3000</v>
      </c>
      <c r="L27" s="4" t="str">
        <f t="shared" si="2"/>
        <v>人民币</v>
      </c>
      <c r="M27" s="4" t="str">
        <f>"T4007142"</f>
        <v>T4007142</v>
      </c>
      <c r="N27" s="4" t="str">
        <f t="shared" si="25"/>
        <v>0149593788</v>
      </c>
      <c r="O27" s="4" t="str">
        <f t="shared" si="4"/>
        <v>300100052893</v>
      </c>
    </row>
    <row r="28" spans="1:15">
      <c r="A28" s="4" t="str">
        <f>"20180118"</f>
        <v>20180118</v>
      </c>
      <c r="B28" s="4" t="str">
        <f>"20180118"</f>
        <v>20180118</v>
      </c>
      <c r="C28" s="4" t="str">
        <f>"基金申购拨出"</f>
        <v>基金申购拨出</v>
      </c>
      <c r="D28" s="4" t="str">
        <f>"AA0007"</f>
        <v>AA0007</v>
      </c>
      <c r="E28" s="4" t="str">
        <f>"银河水星1号集合"</f>
        <v>银河水星1号集合</v>
      </c>
      <c r="F28" s="4">
        <v>0</v>
      </c>
      <c r="G28" s="4">
        <v>0</v>
      </c>
      <c r="H28" s="4">
        <v>0</v>
      </c>
      <c r="I28" s="4">
        <v>-15574.22</v>
      </c>
      <c r="J28" s="4">
        <v>-15573.23</v>
      </c>
      <c r="K28" s="4">
        <v>0</v>
      </c>
      <c r="L28" s="4" t="str">
        <f t="shared" si="2"/>
        <v>人民币</v>
      </c>
      <c r="N28" s="4" t="str">
        <f>"980149593788"</f>
        <v>980149593788</v>
      </c>
      <c r="O28" s="4" t="str">
        <f t="shared" si="4"/>
        <v>300100052893</v>
      </c>
    </row>
    <row r="29" spans="1:15">
      <c r="A29" s="4" t="str">
        <f>"20180118"</f>
        <v>20180118</v>
      </c>
      <c r="B29" s="4" t="str">
        <f>"20180118"</f>
        <v>20180118</v>
      </c>
      <c r="C29" s="4" t="str">
        <f>"证券卖出"</f>
        <v>证券卖出</v>
      </c>
      <c r="D29" s="4" t="str">
        <f>"000768"</f>
        <v>000768</v>
      </c>
      <c r="E29" s="4" t="str">
        <f>"中航飞机"</f>
        <v>中航飞机</v>
      </c>
      <c r="F29" s="4">
        <v>15.56</v>
      </c>
      <c r="G29" s="4">
        <v>2000</v>
      </c>
      <c r="H29" s="4">
        <v>31120</v>
      </c>
      <c r="I29" s="4">
        <v>31079.23</v>
      </c>
      <c r="J29" s="4">
        <v>15506</v>
      </c>
      <c r="K29" s="4">
        <v>1000</v>
      </c>
      <c r="L29" s="4" t="str">
        <f t="shared" si="2"/>
        <v>人民币</v>
      </c>
      <c r="M29" s="4" t="str">
        <f>"T4003329"</f>
        <v>T4003329</v>
      </c>
      <c r="N29" s="4" t="str">
        <f t="shared" ref="N29:N33" si="28">"0149593788"</f>
        <v>0149593788</v>
      </c>
      <c r="O29" s="4" t="str">
        <f t="shared" si="4"/>
        <v>300100052893</v>
      </c>
    </row>
    <row r="30" spans="1:15">
      <c r="A30" s="4" t="str">
        <f t="shared" ref="A30:A33" si="29">"20180119"</f>
        <v>20180119</v>
      </c>
      <c r="B30" s="4" t="str">
        <f t="shared" ref="B30:B33" si="30">"20180119"</f>
        <v>20180119</v>
      </c>
      <c r="C30" s="4" t="str">
        <f>"基金赎回拨入"</f>
        <v>基金赎回拨入</v>
      </c>
      <c r="D30" s="4" t="str">
        <f>"AA0007"</f>
        <v>AA0007</v>
      </c>
      <c r="E30" s="4" t="str">
        <f>"银河水星1号集合"</f>
        <v>银河水星1号集合</v>
      </c>
      <c r="F30" s="4">
        <v>0</v>
      </c>
      <c r="G30" s="4">
        <v>24020</v>
      </c>
      <c r="H30" s="4">
        <v>0</v>
      </c>
      <c r="I30" s="4">
        <v>24020</v>
      </c>
      <c r="J30" s="4">
        <v>39526</v>
      </c>
      <c r="K30" s="4">
        <v>0</v>
      </c>
      <c r="L30" s="4" t="str">
        <f t="shared" si="2"/>
        <v>人民币</v>
      </c>
      <c r="N30" s="4" t="str">
        <f>"980149593788"</f>
        <v>980149593788</v>
      </c>
      <c r="O30" s="4" t="str">
        <f t="shared" si="4"/>
        <v>300100052893</v>
      </c>
    </row>
    <row r="31" spans="1:15">
      <c r="A31" s="4" t="str">
        <f t="shared" si="29"/>
        <v>20180119</v>
      </c>
      <c r="B31" s="4" t="str">
        <f t="shared" si="30"/>
        <v>20180119</v>
      </c>
      <c r="C31" s="4" t="str">
        <f t="shared" ref="C31:C33" si="31">"证券买入"</f>
        <v>证券买入</v>
      </c>
      <c r="D31" s="4" t="str">
        <f>"000768"</f>
        <v>000768</v>
      </c>
      <c r="E31" s="4" t="str">
        <f>"中航飞机"</f>
        <v>中航飞机</v>
      </c>
      <c r="F31" s="4">
        <v>15.73</v>
      </c>
      <c r="G31" s="4">
        <v>1000</v>
      </c>
      <c r="H31" s="4">
        <v>15730</v>
      </c>
      <c r="I31" s="4">
        <v>-15735</v>
      </c>
      <c r="J31" s="4">
        <v>23791</v>
      </c>
      <c r="K31" s="4">
        <v>2000</v>
      </c>
      <c r="L31" s="4" t="str">
        <f t="shared" si="2"/>
        <v>人民币</v>
      </c>
      <c r="M31" s="4" t="str">
        <f>"T4000424"</f>
        <v>T4000424</v>
      </c>
      <c r="N31" s="4" t="str">
        <f t="shared" si="28"/>
        <v>0149593788</v>
      </c>
      <c r="O31" s="4" t="str">
        <f t="shared" si="4"/>
        <v>300100052893</v>
      </c>
    </row>
    <row r="32" spans="1:15">
      <c r="A32" s="4" t="str">
        <f t="shared" si="29"/>
        <v>20180119</v>
      </c>
      <c r="B32" s="4" t="str">
        <f t="shared" si="30"/>
        <v>20180119</v>
      </c>
      <c r="C32" s="4" t="str">
        <f t="shared" si="31"/>
        <v>证券买入</v>
      </c>
      <c r="D32" s="4" t="str">
        <f>"150182"</f>
        <v>150182</v>
      </c>
      <c r="E32" s="4" t="str">
        <f>"军工B"</f>
        <v>军工B</v>
      </c>
      <c r="F32" s="4">
        <v>0.724</v>
      </c>
      <c r="G32" s="4">
        <v>20000</v>
      </c>
      <c r="H32" s="4">
        <v>14480</v>
      </c>
      <c r="I32" s="4">
        <v>-14485</v>
      </c>
      <c r="J32" s="4">
        <v>9306</v>
      </c>
      <c r="K32" s="4">
        <v>20000</v>
      </c>
      <c r="L32" s="4" t="str">
        <f t="shared" si="2"/>
        <v>人民币</v>
      </c>
      <c r="M32" s="4" t="str">
        <f>"T4000731"</f>
        <v>T4000731</v>
      </c>
      <c r="N32" s="4" t="str">
        <f t="shared" si="28"/>
        <v>0149593788</v>
      </c>
      <c r="O32" s="4" t="str">
        <f t="shared" si="4"/>
        <v>300100052893</v>
      </c>
    </row>
    <row r="33" spans="1:15">
      <c r="A33" s="4" t="str">
        <f t="shared" si="29"/>
        <v>20180119</v>
      </c>
      <c r="B33" s="4" t="str">
        <f t="shared" si="30"/>
        <v>20180119</v>
      </c>
      <c r="C33" s="4" t="str">
        <f t="shared" si="31"/>
        <v>证券买入</v>
      </c>
      <c r="D33" s="4" t="str">
        <f>"150201"</f>
        <v>150201</v>
      </c>
      <c r="E33" s="4" t="str">
        <f>"券商B"</f>
        <v>券商B</v>
      </c>
      <c r="F33" s="4">
        <v>0.465</v>
      </c>
      <c r="G33" s="4">
        <v>20000</v>
      </c>
      <c r="H33" s="4">
        <v>9300</v>
      </c>
      <c r="I33" s="4">
        <v>-9305</v>
      </c>
      <c r="J33" s="4">
        <v>1</v>
      </c>
      <c r="K33" s="4">
        <v>20000</v>
      </c>
      <c r="L33" s="4" t="str">
        <f t="shared" si="2"/>
        <v>人民币</v>
      </c>
      <c r="M33" s="4" t="str">
        <f>"T4001249"</f>
        <v>T4001249</v>
      </c>
      <c r="N33" s="4" t="str">
        <f t="shared" si="28"/>
        <v>0149593788</v>
      </c>
      <c r="O33" s="4" t="str">
        <f t="shared" si="4"/>
        <v>300100052893</v>
      </c>
    </row>
    <row r="34" spans="1:15">
      <c r="A34" s="4" t="str">
        <f t="shared" ref="A34:A41" si="32">"20180123"</f>
        <v>20180123</v>
      </c>
      <c r="B34" s="4" t="str">
        <f t="shared" ref="B34:B41" si="33">"20180123"</f>
        <v>20180123</v>
      </c>
      <c r="C34" s="4" t="str">
        <f>"银行转证券"</f>
        <v>银行转证券</v>
      </c>
      <c r="F34" s="4">
        <v>0</v>
      </c>
      <c r="G34" s="4">
        <v>0</v>
      </c>
      <c r="H34" s="4">
        <v>0</v>
      </c>
      <c r="I34" s="4">
        <v>4000</v>
      </c>
      <c r="J34" s="4">
        <v>4001</v>
      </c>
      <c r="K34" s="4">
        <v>0</v>
      </c>
      <c r="L34" s="4" t="str">
        <f t="shared" si="2"/>
        <v>人民币</v>
      </c>
      <c r="O34" s="4" t="str">
        <f t="shared" si="4"/>
        <v>300100052893</v>
      </c>
    </row>
    <row r="35" spans="1:15">
      <c r="A35" s="4" t="str">
        <f t="shared" si="32"/>
        <v>20180123</v>
      </c>
      <c r="B35" s="4" t="str">
        <f t="shared" si="33"/>
        <v>20180123</v>
      </c>
      <c r="C35" s="4" t="str">
        <f>"基金申购拨出"</f>
        <v>基金申购拨出</v>
      </c>
      <c r="D35" s="4" t="str">
        <f>"AA0007"</f>
        <v>AA0007</v>
      </c>
      <c r="E35" s="4" t="str">
        <f>"银河水星1号集合"</f>
        <v>银河水星1号集合</v>
      </c>
      <c r="F35" s="4">
        <v>0</v>
      </c>
      <c r="G35" s="4">
        <v>0</v>
      </c>
      <c r="H35" s="4">
        <v>0</v>
      </c>
      <c r="I35" s="4">
        <v>-25854.03</v>
      </c>
      <c r="J35" s="4">
        <v>-21853.03</v>
      </c>
      <c r="K35" s="4">
        <v>0</v>
      </c>
      <c r="L35" s="4" t="str">
        <f t="shared" si="2"/>
        <v>人民币</v>
      </c>
      <c r="N35" s="4" t="str">
        <f>"980149593788"</f>
        <v>980149593788</v>
      </c>
      <c r="O35" s="4" t="str">
        <f t="shared" si="4"/>
        <v>300100052893</v>
      </c>
    </row>
    <row r="36" spans="1:15">
      <c r="A36" s="4" t="str">
        <f t="shared" si="32"/>
        <v>20180123</v>
      </c>
      <c r="B36" s="4" t="str">
        <f t="shared" si="33"/>
        <v>20180123</v>
      </c>
      <c r="C36" s="4" t="str">
        <f t="shared" ref="C36:C41" si="34">"证券卖出"</f>
        <v>证券卖出</v>
      </c>
      <c r="D36" s="4" t="str">
        <f>"150201"</f>
        <v>150201</v>
      </c>
      <c r="E36" s="4" t="str">
        <f>"券商B"</f>
        <v>券商B</v>
      </c>
      <c r="F36" s="4">
        <v>0.498</v>
      </c>
      <c r="G36" s="4">
        <v>20000</v>
      </c>
      <c r="H36" s="4">
        <v>9960</v>
      </c>
      <c r="I36" s="4">
        <v>9955</v>
      </c>
      <c r="J36" s="4">
        <v>-11898.03</v>
      </c>
      <c r="K36" s="4">
        <v>0</v>
      </c>
      <c r="L36" s="4" t="str">
        <f t="shared" si="2"/>
        <v>人民币</v>
      </c>
      <c r="M36" s="4" t="str">
        <f>"T4005953"</f>
        <v>T4005953</v>
      </c>
      <c r="N36" s="4" t="str">
        <f t="shared" ref="N36:N41" si="35">"0149593788"</f>
        <v>0149593788</v>
      </c>
      <c r="O36" s="4" t="str">
        <f t="shared" si="4"/>
        <v>300100052893</v>
      </c>
    </row>
    <row r="37" spans="1:15">
      <c r="A37" s="4" t="str">
        <f t="shared" si="32"/>
        <v>20180123</v>
      </c>
      <c r="B37" s="4" t="str">
        <f t="shared" si="33"/>
        <v>20180123</v>
      </c>
      <c r="C37" s="4" t="str">
        <f t="shared" si="34"/>
        <v>证券卖出</v>
      </c>
      <c r="D37" s="4" t="str">
        <f>"150153"</f>
        <v>150153</v>
      </c>
      <c r="E37" s="4" t="str">
        <f>"创业板B"</f>
        <v>创业板B</v>
      </c>
      <c r="F37" s="4">
        <v>0.596</v>
      </c>
      <c r="G37" s="4">
        <v>20000</v>
      </c>
      <c r="H37" s="4">
        <v>11920</v>
      </c>
      <c r="I37" s="4">
        <v>11915</v>
      </c>
      <c r="J37" s="4">
        <v>16.97</v>
      </c>
      <c r="K37" s="4">
        <v>20000</v>
      </c>
      <c r="L37" s="4" t="str">
        <f t="shared" si="2"/>
        <v>人民币</v>
      </c>
      <c r="M37" s="4" t="str">
        <f>"T4009289"</f>
        <v>T4009289</v>
      </c>
      <c r="N37" s="4" t="str">
        <f t="shared" si="35"/>
        <v>0149593788</v>
      </c>
      <c r="O37" s="4" t="str">
        <f t="shared" si="4"/>
        <v>300100052893</v>
      </c>
    </row>
    <row r="38" spans="1:15">
      <c r="A38" s="4" t="str">
        <f t="shared" si="32"/>
        <v>20180123</v>
      </c>
      <c r="B38" s="4" t="str">
        <f t="shared" si="33"/>
        <v>20180123</v>
      </c>
      <c r="C38" s="4" t="str">
        <f t="shared" ref="C38:C45" si="36">"证券买入"</f>
        <v>证券买入</v>
      </c>
      <c r="D38" s="4" t="str">
        <f>"000768"</f>
        <v>000768</v>
      </c>
      <c r="E38" s="4" t="str">
        <f>"中航飞机"</f>
        <v>中航飞机</v>
      </c>
      <c r="F38" s="4">
        <v>15.89</v>
      </c>
      <c r="G38" s="4">
        <v>1000</v>
      </c>
      <c r="H38" s="4">
        <v>15890</v>
      </c>
      <c r="I38" s="4">
        <v>-15895</v>
      </c>
      <c r="J38" s="4">
        <v>-15878.03</v>
      </c>
      <c r="K38" s="4">
        <v>3000</v>
      </c>
      <c r="L38" s="4" t="str">
        <f t="shared" si="2"/>
        <v>人民币</v>
      </c>
      <c r="M38" s="4" t="str">
        <f>"T4009810"</f>
        <v>T4009810</v>
      </c>
      <c r="N38" s="4" t="str">
        <f t="shared" si="35"/>
        <v>0149593788</v>
      </c>
      <c r="O38" s="4" t="str">
        <f t="shared" si="4"/>
        <v>300100052893</v>
      </c>
    </row>
    <row r="39" spans="1:15">
      <c r="A39" s="4" t="str">
        <f t="shared" si="32"/>
        <v>20180123</v>
      </c>
      <c r="B39" s="4" t="str">
        <f t="shared" si="33"/>
        <v>20180123</v>
      </c>
      <c r="C39" s="4" t="str">
        <f t="shared" si="36"/>
        <v>证券买入</v>
      </c>
      <c r="D39" s="4" t="str">
        <f t="shared" ref="D39:D43" si="37">"150182"</f>
        <v>150182</v>
      </c>
      <c r="E39" s="4" t="str">
        <f t="shared" ref="E39:E43" si="38">"军工B"</f>
        <v>军工B</v>
      </c>
      <c r="F39" s="4">
        <v>0.728</v>
      </c>
      <c r="G39" s="4">
        <v>20000</v>
      </c>
      <c r="H39" s="4">
        <v>14560</v>
      </c>
      <c r="I39" s="4">
        <v>-14565</v>
      </c>
      <c r="J39" s="4">
        <v>-30443.03</v>
      </c>
      <c r="K39" s="4">
        <v>40000</v>
      </c>
      <c r="L39" s="4" t="str">
        <f t="shared" si="2"/>
        <v>人民币</v>
      </c>
      <c r="M39" s="4" t="str">
        <f>"T4009887"</f>
        <v>T4009887</v>
      </c>
      <c r="N39" s="4" t="str">
        <f t="shared" si="35"/>
        <v>0149593788</v>
      </c>
      <c r="O39" s="4" t="str">
        <f t="shared" si="4"/>
        <v>300100052893</v>
      </c>
    </row>
    <row r="40" spans="1:15">
      <c r="A40" s="4" t="str">
        <f t="shared" si="32"/>
        <v>20180123</v>
      </c>
      <c r="B40" s="4" t="str">
        <f t="shared" si="33"/>
        <v>20180123</v>
      </c>
      <c r="C40" s="4" t="str">
        <f t="shared" si="34"/>
        <v>证券卖出</v>
      </c>
      <c r="D40" s="4" t="str">
        <f>"000768"</f>
        <v>000768</v>
      </c>
      <c r="E40" s="4" t="str">
        <f>"中航飞机"</f>
        <v>中航飞机</v>
      </c>
      <c r="F40" s="4">
        <v>15.97</v>
      </c>
      <c r="G40" s="4">
        <v>1000</v>
      </c>
      <c r="H40" s="4">
        <v>15970</v>
      </c>
      <c r="I40" s="4">
        <v>15949.03</v>
      </c>
      <c r="J40" s="4">
        <v>-14494</v>
      </c>
      <c r="K40" s="4">
        <v>2000</v>
      </c>
      <c r="L40" s="4" t="str">
        <f t="shared" si="2"/>
        <v>人民币</v>
      </c>
      <c r="M40" s="4" t="str">
        <f>"T4010576"</f>
        <v>T4010576</v>
      </c>
      <c r="N40" s="4" t="str">
        <f t="shared" si="35"/>
        <v>0149593788</v>
      </c>
      <c r="O40" s="4" t="str">
        <f t="shared" si="4"/>
        <v>300100052893</v>
      </c>
    </row>
    <row r="41" spans="1:15">
      <c r="A41" s="4" t="str">
        <f t="shared" si="32"/>
        <v>20180123</v>
      </c>
      <c r="B41" s="4" t="str">
        <f t="shared" si="33"/>
        <v>20180123</v>
      </c>
      <c r="C41" s="4" t="str">
        <f t="shared" si="34"/>
        <v>证券卖出</v>
      </c>
      <c r="D41" s="4" t="str">
        <f t="shared" si="37"/>
        <v>150182</v>
      </c>
      <c r="E41" s="4" t="str">
        <f t="shared" si="38"/>
        <v>军工B</v>
      </c>
      <c r="F41" s="4">
        <v>0.725</v>
      </c>
      <c r="G41" s="4">
        <v>20000</v>
      </c>
      <c r="H41" s="4">
        <v>14500</v>
      </c>
      <c r="I41" s="4">
        <v>14495</v>
      </c>
      <c r="J41" s="4">
        <v>1</v>
      </c>
      <c r="K41" s="4">
        <v>20000</v>
      </c>
      <c r="L41" s="4" t="str">
        <f t="shared" si="2"/>
        <v>人民币</v>
      </c>
      <c r="M41" s="4" t="str">
        <f>"T4010605"</f>
        <v>T4010605</v>
      </c>
      <c r="N41" s="4" t="str">
        <f t="shared" si="35"/>
        <v>0149593788</v>
      </c>
      <c r="O41" s="4" t="str">
        <f t="shared" si="4"/>
        <v>300100052893</v>
      </c>
    </row>
    <row r="42" spans="1:15">
      <c r="A42" s="4" t="str">
        <f t="shared" ref="A42:A45" si="39">"20180124"</f>
        <v>20180124</v>
      </c>
      <c r="B42" s="4" t="str">
        <f t="shared" ref="B42:B45" si="40">"20180124"</f>
        <v>20180124</v>
      </c>
      <c r="C42" s="4" t="str">
        <f>"基金赎回拨入"</f>
        <v>基金赎回拨入</v>
      </c>
      <c r="D42" s="4" t="str">
        <f>"AA0007"</f>
        <v>AA0007</v>
      </c>
      <c r="E42" s="4" t="str">
        <f>"银河水星1号集合"</f>
        <v>银河水星1号集合</v>
      </c>
      <c r="F42" s="4">
        <v>0</v>
      </c>
      <c r="G42" s="4">
        <v>39533</v>
      </c>
      <c r="H42" s="4">
        <v>0</v>
      </c>
      <c r="I42" s="4">
        <v>39533.39</v>
      </c>
      <c r="J42" s="4">
        <v>39534.39</v>
      </c>
      <c r="K42" s="4">
        <v>0</v>
      </c>
      <c r="L42" s="4" t="str">
        <f t="shared" si="2"/>
        <v>人民币</v>
      </c>
      <c r="N42" s="4" t="str">
        <f>"980149593788"</f>
        <v>980149593788</v>
      </c>
      <c r="O42" s="4" t="str">
        <f t="shared" si="4"/>
        <v>300100052893</v>
      </c>
    </row>
    <row r="43" spans="1:15">
      <c r="A43" s="4" t="str">
        <f t="shared" si="39"/>
        <v>20180124</v>
      </c>
      <c r="B43" s="4" t="str">
        <f t="shared" si="40"/>
        <v>20180124</v>
      </c>
      <c r="C43" s="4" t="str">
        <f t="shared" si="36"/>
        <v>证券买入</v>
      </c>
      <c r="D43" s="4" t="str">
        <f t="shared" si="37"/>
        <v>150182</v>
      </c>
      <c r="E43" s="4" t="str">
        <f t="shared" si="38"/>
        <v>军工B</v>
      </c>
      <c r="F43" s="4">
        <v>0.731</v>
      </c>
      <c r="G43" s="4">
        <v>20000</v>
      </c>
      <c r="H43" s="4">
        <v>14620</v>
      </c>
      <c r="I43" s="4">
        <v>-14625</v>
      </c>
      <c r="J43" s="4">
        <v>24909.39</v>
      </c>
      <c r="K43" s="4">
        <v>40000</v>
      </c>
      <c r="L43" s="4" t="str">
        <f t="shared" si="2"/>
        <v>人民币</v>
      </c>
      <c r="M43" s="4" t="str">
        <f>"T4006899"</f>
        <v>T4006899</v>
      </c>
      <c r="N43" s="4" t="str">
        <f t="shared" ref="N43:N45" si="41">"0149593788"</f>
        <v>0149593788</v>
      </c>
      <c r="O43" s="4" t="str">
        <f t="shared" si="4"/>
        <v>300100052893</v>
      </c>
    </row>
    <row r="44" spans="1:15">
      <c r="A44" s="4" t="str">
        <f t="shared" si="39"/>
        <v>20180124</v>
      </c>
      <c r="B44" s="4" t="str">
        <f t="shared" si="40"/>
        <v>20180124</v>
      </c>
      <c r="C44" s="4" t="str">
        <f t="shared" si="36"/>
        <v>证券买入</v>
      </c>
      <c r="D44" s="4" t="str">
        <f>"000768"</f>
        <v>000768</v>
      </c>
      <c r="E44" s="4" t="str">
        <f>"中航飞机"</f>
        <v>中航飞机</v>
      </c>
      <c r="F44" s="4">
        <v>16.138</v>
      </c>
      <c r="G44" s="4">
        <v>1000</v>
      </c>
      <c r="H44" s="4">
        <v>16138</v>
      </c>
      <c r="I44" s="4">
        <v>-16143</v>
      </c>
      <c r="J44" s="4">
        <v>8766.39</v>
      </c>
      <c r="K44" s="4">
        <v>3000</v>
      </c>
      <c r="L44" s="4" t="str">
        <f t="shared" si="2"/>
        <v>人民币</v>
      </c>
      <c r="M44" s="4" t="str">
        <f>"T4007704"</f>
        <v>T4007704</v>
      </c>
      <c r="N44" s="4" t="str">
        <f t="shared" si="41"/>
        <v>0149593788</v>
      </c>
      <c r="O44" s="4" t="str">
        <f t="shared" si="4"/>
        <v>300100052893</v>
      </c>
    </row>
    <row r="45" spans="1:15">
      <c r="A45" s="4" t="str">
        <f t="shared" si="39"/>
        <v>20180124</v>
      </c>
      <c r="B45" s="4" t="str">
        <f t="shared" si="40"/>
        <v>20180124</v>
      </c>
      <c r="C45" s="4" t="str">
        <f t="shared" si="36"/>
        <v>证券买入</v>
      </c>
      <c r="D45" s="4" t="str">
        <f>"000601"</f>
        <v>000601</v>
      </c>
      <c r="E45" s="4" t="str">
        <f>"韶能股份"</f>
        <v>韶能股份</v>
      </c>
      <c r="F45" s="4">
        <v>7.32</v>
      </c>
      <c r="G45" s="4">
        <v>1100</v>
      </c>
      <c r="H45" s="4">
        <v>8052</v>
      </c>
      <c r="I45" s="4">
        <v>-8057</v>
      </c>
      <c r="J45" s="4">
        <v>709.39</v>
      </c>
      <c r="K45" s="4">
        <v>23300</v>
      </c>
      <c r="L45" s="4" t="str">
        <f t="shared" si="2"/>
        <v>人民币</v>
      </c>
      <c r="M45" s="4" t="str">
        <f>"T4008731"</f>
        <v>T4008731</v>
      </c>
      <c r="N45" s="4" t="str">
        <f t="shared" si="41"/>
        <v>0149593788</v>
      </c>
      <c r="O45" s="4" t="str">
        <f t="shared" si="4"/>
        <v>300100052893</v>
      </c>
    </row>
    <row r="46" spans="1:15">
      <c r="A46" s="4" t="str">
        <f t="shared" ref="A46:A48" si="42">"20180125"</f>
        <v>20180125</v>
      </c>
      <c r="B46" s="4" t="str">
        <f>"20180125"</f>
        <v>20180125</v>
      </c>
      <c r="C46" s="4" t="str">
        <f>"银行转证券"</f>
        <v>银行转证券</v>
      </c>
      <c r="F46" s="4">
        <v>0</v>
      </c>
      <c r="G46" s="4">
        <v>0</v>
      </c>
      <c r="H46" s="4">
        <v>0</v>
      </c>
      <c r="I46" s="4">
        <v>6500</v>
      </c>
      <c r="J46" s="4">
        <v>7209.39</v>
      </c>
      <c r="K46" s="4">
        <v>0</v>
      </c>
      <c r="L46" s="4" t="str">
        <f t="shared" si="2"/>
        <v>人民币</v>
      </c>
      <c r="O46" s="4" t="str">
        <f t="shared" si="4"/>
        <v>300100052893</v>
      </c>
    </row>
    <row r="47" spans="1:15">
      <c r="A47" s="4" t="str">
        <f t="shared" si="42"/>
        <v>20180125</v>
      </c>
      <c r="B47" s="4" t="str">
        <f>"20180125"</f>
        <v>20180125</v>
      </c>
      <c r="C47" s="4" t="str">
        <f>"银行转证券"</f>
        <v>银行转证券</v>
      </c>
      <c r="F47" s="4">
        <v>0</v>
      </c>
      <c r="G47" s="4">
        <v>0</v>
      </c>
      <c r="H47" s="4">
        <v>0</v>
      </c>
      <c r="I47" s="4">
        <v>10000</v>
      </c>
      <c r="J47" s="4">
        <v>17209.39</v>
      </c>
      <c r="K47" s="4">
        <v>0</v>
      </c>
      <c r="L47" s="4" t="str">
        <f t="shared" si="2"/>
        <v>人民币</v>
      </c>
      <c r="O47" s="4" t="str">
        <f t="shared" si="4"/>
        <v>300100052893</v>
      </c>
    </row>
    <row r="48" spans="1:15">
      <c r="A48" s="4" t="str">
        <f t="shared" si="42"/>
        <v>20180125</v>
      </c>
      <c r="B48" s="4" t="str">
        <f>"20180123"</f>
        <v>20180123</v>
      </c>
      <c r="C48" s="4" t="str">
        <f>"配售缴款"</f>
        <v>配售缴款</v>
      </c>
      <c r="D48" s="4" t="str">
        <f>"732506"</f>
        <v>732506</v>
      </c>
      <c r="E48" s="4" t="str">
        <f>"南都申购"</f>
        <v>南都申购</v>
      </c>
      <c r="F48" s="4">
        <v>16.25</v>
      </c>
      <c r="G48" s="4">
        <v>1000</v>
      </c>
      <c r="H48" s="4">
        <v>16250</v>
      </c>
      <c r="I48" s="4">
        <v>-16250</v>
      </c>
      <c r="J48" s="4">
        <v>959.39</v>
      </c>
      <c r="K48" s="4">
        <v>0</v>
      </c>
      <c r="L48" s="4" t="str">
        <f t="shared" si="2"/>
        <v>人民币</v>
      </c>
      <c r="M48" s="4" t="str">
        <f>"0136007256"</f>
        <v>0136007256</v>
      </c>
      <c r="N48" s="4" t="str">
        <f>"A368402599"</f>
        <v>A368402599</v>
      </c>
      <c r="O48" s="4" t="str">
        <f t="shared" si="4"/>
        <v>300100052893</v>
      </c>
    </row>
    <row r="49" spans="1:15">
      <c r="A49" s="4" t="str">
        <f t="shared" ref="A49:A53" si="43">"20180126"</f>
        <v>20180126</v>
      </c>
      <c r="B49" s="4" t="str">
        <f>"20180123"</f>
        <v>20180123</v>
      </c>
      <c r="C49" s="4" t="str">
        <f>"配售股份"</f>
        <v>配售股份</v>
      </c>
      <c r="D49" s="4" t="str">
        <f>"732506"</f>
        <v>732506</v>
      </c>
      <c r="E49" s="4" t="str">
        <f>"南都申购"</f>
        <v>南都申购</v>
      </c>
      <c r="F49" s="4">
        <v>16.25</v>
      </c>
      <c r="G49" s="4">
        <v>1000</v>
      </c>
      <c r="H49" s="4">
        <v>16250</v>
      </c>
      <c r="I49" s="4">
        <v>0</v>
      </c>
      <c r="J49" s="4">
        <v>959.39</v>
      </c>
      <c r="K49" s="4">
        <v>1000</v>
      </c>
      <c r="L49" s="4" t="str">
        <f t="shared" si="2"/>
        <v>人民币</v>
      </c>
      <c r="M49" s="4" t="str">
        <f>"0136007256"</f>
        <v>0136007256</v>
      </c>
      <c r="N49" s="4" t="str">
        <f>"A368402599"</f>
        <v>A368402599</v>
      </c>
      <c r="O49" s="4" t="str">
        <f t="shared" si="4"/>
        <v>300100052893</v>
      </c>
    </row>
    <row r="50" spans="1:15">
      <c r="A50" s="4" t="str">
        <f t="shared" si="43"/>
        <v>20180126</v>
      </c>
      <c r="B50" s="4" t="str">
        <f t="shared" ref="B50:B53" si="44">"20180126"</f>
        <v>20180126</v>
      </c>
      <c r="C50" s="4" t="str">
        <f t="shared" ref="C50:C55" si="45">"证券卖出"</f>
        <v>证券卖出</v>
      </c>
      <c r="D50" s="4" t="str">
        <f t="shared" ref="D50:D56" si="46">"000768"</f>
        <v>000768</v>
      </c>
      <c r="E50" s="4" t="str">
        <f t="shared" ref="E50:E56" si="47">"中航飞机"</f>
        <v>中航飞机</v>
      </c>
      <c r="F50" s="4">
        <v>16.43</v>
      </c>
      <c r="G50" s="4">
        <v>1000</v>
      </c>
      <c r="H50" s="4">
        <v>16430</v>
      </c>
      <c r="I50" s="4">
        <v>16408.48</v>
      </c>
      <c r="J50" s="4">
        <v>17367.87</v>
      </c>
      <c r="K50" s="4">
        <v>2000</v>
      </c>
      <c r="L50" s="4" t="str">
        <f t="shared" si="2"/>
        <v>人民币</v>
      </c>
      <c r="M50" s="4" t="str">
        <f>"T4005904"</f>
        <v>T4005904</v>
      </c>
      <c r="N50" s="4" t="str">
        <f t="shared" ref="N50:N57" si="48">"0149593788"</f>
        <v>0149593788</v>
      </c>
      <c r="O50" s="4" t="str">
        <f t="shared" si="4"/>
        <v>300100052893</v>
      </c>
    </row>
    <row r="51" spans="1:15">
      <c r="A51" s="4" t="str">
        <f t="shared" si="43"/>
        <v>20180126</v>
      </c>
      <c r="B51" s="4" t="str">
        <f t="shared" si="44"/>
        <v>20180126</v>
      </c>
      <c r="C51" s="4" t="str">
        <f t="shared" si="45"/>
        <v>证券卖出</v>
      </c>
      <c r="D51" s="4" t="str">
        <f>"150153"</f>
        <v>150153</v>
      </c>
      <c r="E51" s="4" t="str">
        <f>"创业板B"</f>
        <v>创业板B</v>
      </c>
      <c r="F51" s="4">
        <v>0.654</v>
      </c>
      <c r="G51" s="4">
        <v>20000</v>
      </c>
      <c r="H51" s="4">
        <v>13080</v>
      </c>
      <c r="I51" s="4">
        <v>13075</v>
      </c>
      <c r="J51" s="4">
        <v>30442.87</v>
      </c>
      <c r="K51" s="4">
        <v>0</v>
      </c>
      <c r="L51" s="4" t="str">
        <f t="shared" si="2"/>
        <v>人民币</v>
      </c>
      <c r="M51" s="4" t="str">
        <f>"T4006873"</f>
        <v>T4006873</v>
      </c>
      <c r="N51" s="4" t="str">
        <f t="shared" si="48"/>
        <v>0149593788</v>
      </c>
      <c r="O51" s="4" t="str">
        <f t="shared" si="4"/>
        <v>300100052893</v>
      </c>
    </row>
    <row r="52" spans="1:15">
      <c r="A52" s="4" t="str">
        <f t="shared" si="43"/>
        <v>20180126</v>
      </c>
      <c r="B52" s="4" t="str">
        <f t="shared" si="44"/>
        <v>20180126</v>
      </c>
      <c r="C52" s="4" t="str">
        <f t="shared" ref="C52:C58" si="49">"证券买入"</f>
        <v>证券买入</v>
      </c>
      <c r="D52" s="4" t="str">
        <f>"000601"</f>
        <v>000601</v>
      </c>
      <c r="E52" s="4" t="str">
        <f>"韶能股份"</f>
        <v>韶能股份</v>
      </c>
      <c r="F52" s="4">
        <v>7.24</v>
      </c>
      <c r="G52" s="4">
        <v>1900</v>
      </c>
      <c r="H52" s="4">
        <v>13756</v>
      </c>
      <c r="I52" s="4">
        <v>-13761</v>
      </c>
      <c r="J52" s="4">
        <v>16681.87</v>
      </c>
      <c r="K52" s="4">
        <v>25200</v>
      </c>
      <c r="L52" s="4" t="str">
        <f t="shared" si="2"/>
        <v>人民币</v>
      </c>
      <c r="M52" s="4" t="str">
        <f>"T4006931"</f>
        <v>T4006931</v>
      </c>
      <c r="N52" s="4" t="str">
        <f t="shared" si="48"/>
        <v>0149593788</v>
      </c>
      <c r="O52" s="4" t="str">
        <f t="shared" si="4"/>
        <v>300100052893</v>
      </c>
    </row>
    <row r="53" spans="1:15">
      <c r="A53" s="4" t="str">
        <f t="shared" si="43"/>
        <v>20180126</v>
      </c>
      <c r="B53" s="4" t="str">
        <f t="shared" si="44"/>
        <v>20180126</v>
      </c>
      <c r="C53" s="4" t="str">
        <f t="shared" si="49"/>
        <v>证券买入</v>
      </c>
      <c r="D53" s="4" t="str">
        <f t="shared" si="46"/>
        <v>000768</v>
      </c>
      <c r="E53" s="4" t="str">
        <f t="shared" si="47"/>
        <v>中航飞机</v>
      </c>
      <c r="F53" s="4">
        <v>16.34</v>
      </c>
      <c r="G53" s="4">
        <v>1000</v>
      </c>
      <c r="H53" s="4">
        <v>16340</v>
      </c>
      <c r="I53" s="4">
        <v>-16345.07</v>
      </c>
      <c r="J53" s="4">
        <v>336.8</v>
      </c>
      <c r="K53" s="4">
        <v>3000</v>
      </c>
      <c r="L53" s="4" t="str">
        <f t="shared" si="2"/>
        <v>人民币</v>
      </c>
      <c r="M53" s="4" t="str">
        <f>"T4007084"</f>
        <v>T4007084</v>
      </c>
      <c r="N53" s="4" t="str">
        <f t="shared" si="48"/>
        <v>0149593788</v>
      </c>
      <c r="O53" s="4" t="str">
        <f t="shared" si="4"/>
        <v>300100052893</v>
      </c>
    </row>
    <row r="54" spans="1:15">
      <c r="A54" s="4" t="str">
        <f t="shared" ref="A54:A58" si="50">"20180129"</f>
        <v>20180129</v>
      </c>
      <c r="B54" s="4" t="str">
        <f t="shared" ref="B54:B58" si="51">"20180129"</f>
        <v>20180129</v>
      </c>
      <c r="C54" s="4" t="str">
        <f t="shared" si="45"/>
        <v>证券卖出</v>
      </c>
      <c r="D54" s="4" t="str">
        <f>"150182"</f>
        <v>150182</v>
      </c>
      <c r="E54" s="4" t="str">
        <f>"军工B"</f>
        <v>军工B</v>
      </c>
      <c r="F54" s="4">
        <v>0.749</v>
      </c>
      <c r="G54" s="4">
        <v>40000</v>
      </c>
      <c r="H54" s="4">
        <v>29960</v>
      </c>
      <c r="I54" s="4">
        <v>29950.71</v>
      </c>
      <c r="J54" s="4">
        <v>30287.51</v>
      </c>
      <c r="K54" s="4">
        <v>0</v>
      </c>
      <c r="L54" s="4" t="str">
        <f t="shared" si="2"/>
        <v>人民币</v>
      </c>
      <c r="M54" s="4" t="str">
        <f>"T4003938"</f>
        <v>T4003938</v>
      </c>
      <c r="N54" s="4" t="str">
        <f t="shared" si="48"/>
        <v>0149593788</v>
      </c>
      <c r="O54" s="4" t="str">
        <f t="shared" si="4"/>
        <v>300100052893</v>
      </c>
    </row>
    <row r="55" spans="1:15">
      <c r="A55" s="4" t="str">
        <f t="shared" si="50"/>
        <v>20180129</v>
      </c>
      <c r="B55" s="4" t="str">
        <f t="shared" si="51"/>
        <v>20180129</v>
      </c>
      <c r="C55" s="4" t="str">
        <f t="shared" si="45"/>
        <v>证券卖出</v>
      </c>
      <c r="D55" s="4" t="str">
        <f t="shared" si="46"/>
        <v>000768</v>
      </c>
      <c r="E55" s="4" t="str">
        <f t="shared" si="47"/>
        <v>中航飞机</v>
      </c>
      <c r="F55" s="4">
        <v>16.24</v>
      </c>
      <c r="G55" s="4">
        <v>3000</v>
      </c>
      <c r="H55" s="4">
        <v>48720</v>
      </c>
      <c r="I55" s="4">
        <v>48656.18</v>
      </c>
      <c r="J55" s="4">
        <v>78943.69</v>
      </c>
      <c r="K55" s="4">
        <v>0</v>
      </c>
      <c r="L55" s="4" t="str">
        <f t="shared" si="2"/>
        <v>人民币</v>
      </c>
      <c r="M55" s="4" t="str">
        <f>"T4004371"</f>
        <v>T4004371</v>
      </c>
      <c r="N55" s="4" t="str">
        <f t="shared" si="48"/>
        <v>0149593788</v>
      </c>
      <c r="O55" s="4" t="str">
        <f t="shared" si="4"/>
        <v>300100052893</v>
      </c>
    </row>
    <row r="56" spans="1:15">
      <c r="A56" s="4" t="str">
        <f t="shared" si="50"/>
        <v>20180129</v>
      </c>
      <c r="B56" s="4" t="str">
        <f t="shared" si="51"/>
        <v>20180129</v>
      </c>
      <c r="C56" s="4" t="str">
        <f t="shared" si="49"/>
        <v>证券买入</v>
      </c>
      <c r="D56" s="4" t="str">
        <f t="shared" si="46"/>
        <v>000768</v>
      </c>
      <c r="E56" s="4" t="str">
        <f t="shared" si="47"/>
        <v>中航飞机</v>
      </c>
      <c r="F56" s="4">
        <v>16.1</v>
      </c>
      <c r="G56" s="4">
        <v>1000</v>
      </c>
      <c r="H56" s="4">
        <v>16100</v>
      </c>
      <c r="I56" s="4">
        <v>-16105</v>
      </c>
      <c r="J56" s="4">
        <v>62838.69</v>
      </c>
      <c r="K56" s="4">
        <v>1000</v>
      </c>
      <c r="L56" s="4" t="str">
        <f t="shared" si="2"/>
        <v>人民币</v>
      </c>
      <c r="M56" s="4" t="str">
        <f>"T4004931"</f>
        <v>T4004931</v>
      </c>
      <c r="N56" s="4" t="str">
        <f t="shared" si="48"/>
        <v>0149593788</v>
      </c>
      <c r="O56" s="4" t="str">
        <f t="shared" si="4"/>
        <v>300100052893</v>
      </c>
    </row>
    <row r="57" spans="1:15">
      <c r="A57" s="4" t="str">
        <f t="shared" si="50"/>
        <v>20180129</v>
      </c>
      <c r="B57" s="4" t="str">
        <f t="shared" si="51"/>
        <v>20180129</v>
      </c>
      <c r="C57" s="4" t="str">
        <f t="shared" si="49"/>
        <v>证券买入</v>
      </c>
      <c r="D57" s="4" t="str">
        <f>"150182"</f>
        <v>150182</v>
      </c>
      <c r="E57" s="4" t="str">
        <f>"军工B"</f>
        <v>军工B</v>
      </c>
      <c r="F57" s="4">
        <v>0.734</v>
      </c>
      <c r="G57" s="4">
        <v>20000</v>
      </c>
      <c r="H57" s="4">
        <v>14680</v>
      </c>
      <c r="I57" s="4">
        <v>-14685</v>
      </c>
      <c r="J57" s="4">
        <v>48153.69</v>
      </c>
      <c r="K57" s="4">
        <v>20000</v>
      </c>
      <c r="L57" s="4" t="str">
        <f t="shared" si="2"/>
        <v>人民币</v>
      </c>
      <c r="M57" s="4" t="str">
        <f>"T4005070"</f>
        <v>T4005070</v>
      </c>
      <c r="N57" s="4" t="str">
        <f t="shared" si="48"/>
        <v>0149593788</v>
      </c>
      <c r="O57" s="4" t="str">
        <f t="shared" si="4"/>
        <v>300100052893</v>
      </c>
    </row>
    <row r="58" spans="1:15">
      <c r="A58" s="4" t="str">
        <f t="shared" si="50"/>
        <v>20180129</v>
      </c>
      <c r="B58" s="4" t="str">
        <f t="shared" si="51"/>
        <v>20180129</v>
      </c>
      <c r="C58" s="4" t="str">
        <f t="shared" si="49"/>
        <v>证券买入</v>
      </c>
      <c r="D58" s="4" t="str">
        <f>"600575"</f>
        <v>600575</v>
      </c>
      <c r="E58" s="4" t="str">
        <f>"皖江物流"</f>
        <v>皖江物流</v>
      </c>
      <c r="F58" s="4">
        <v>4.18</v>
      </c>
      <c r="G58" s="4">
        <v>11500</v>
      </c>
      <c r="H58" s="4">
        <v>48070</v>
      </c>
      <c r="I58" s="4">
        <v>-48085.86</v>
      </c>
      <c r="J58" s="4">
        <v>67.83</v>
      </c>
      <c r="K58" s="4">
        <v>11500</v>
      </c>
      <c r="L58" s="4" t="str">
        <f t="shared" si="2"/>
        <v>人民币</v>
      </c>
      <c r="M58" s="4" t="str">
        <f>"0136008456"</f>
        <v>0136008456</v>
      </c>
      <c r="N58" s="4" t="str">
        <f>"A368402599"</f>
        <v>A368402599</v>
      </c>
      <c r="O58" s="4" t="str">
        <f t="shared" si="4"/>
        <v>300100052893</v>
      </c>
    </row>
    <row r="59" spans="1:15">
      <c r="A59" s="4" t="str">
        <f t="shared" ref="A59:A63" si="52">"20180130"</f>
        <v>20180130</v>
      </c>
      <c r="B59" s="4" t="str">
        <f t="shared" ref="B59:B63" si="53">"20180130"</f>
        <v>20180130</v>
      </c>
      <c r="C59" s="4" t="str">
        <f>"银行转证券"</f>
        <v>银行转证券</v>
      </c>
      <c r="F59" s="4">
        <v>0</v>
      </c>
      <c r="G59" s="4">
        <v>0</v>
      </c>
      <c r="H59" s="4">
        <v>0</v>
      </c>
      <c r="I59" s="4">
        <v>10918.95</v>
      </c>
      <c r="J59" s="4">
        <v>10986.78</v>
      </c>
      <c r="K59" s="4">
        <v>0</v>
      </c>
      <c r="L59" s="4" t="str">
        <f t="shared" si="2"/>
        <v>人民币</v>
      </c>
      <c r="O59" s="4" t="str">
        <f t="shared" si="4"/>
        <v>300100052893</v>
      </c>
    </row>
    <row r="60" spans="1:15">
      <c r="A60" s="4" t="str">
        <f t="shared" si="52"/>
        <v>20180130</v>
      </c>
      <c r="B60" s="4" t="str">
        <f t="shared" si="53"/>
        <v>20180130</v>
      </c>
      <c r="C60" s="4" t="str">
        <f>"基金申购拨出"</f>
        <v>基金申购拨出</v>
      </c>
      <c r="D60" s="4" t="str">
        <f>"AA0007"</f>
        <v>AA0007</v>
      </c>
      <c r="E60" s="4" t="str">
        <f>"银河水星1号集合"</f>
        <v>银河水星1号集合</v>
      </c>
      <c r="F60" s="4">
        <v>0</v>
      </c>
      <c r="G60" s="4">
        <v>0</v>
      </c>
      <c r="H60" s="4">
        <v>0</v>
      </c>
      <c r="I60" s="4">
        <v>-30584.54</v>
      </c>
      <c r="J60" s="4">
        <v>-19597.76</v>
      </c>
      <c r="K60" s="4">
        <v>0</v>
      </c>
      <c r="L60" s="4" t="str">
        <f t="shared" si="2"/>
        <v>人民币</v>
      </c>
      <c r="N60" s="4" t="str">
        <f>"980149593788"</f>
        <v>980149593788</v>
      </c>
      <c r="O60" s="4" t="str">
        <f t="shared" si="4"/>
        <v>300100052893</v>
      </c>
    </row>
    <row r="61" spans="1:15">
      <c r="A61" s="4" t="str">
        <f t="shared" si="52"/>
        <v>20180130</v>
      </c>
      <c r="B61" s="4" t="str">
        <f t="shared" si="53"/>
        <v>20180130</v>
      </c>
      <c r="C61" s="4" t="str">
        <f t="shared" ref="C61:C67" si="54">"证券卖出"</f>
        <v>证券卖出</v>
      </c>
      <c r="D61" s="4" t="str">
        <f>"000768"</f>
        <v>000768</v>
      </c>
      <c r="E61" s="4" t="str">
        <f>"中航飞机"</f>
        <v>中航飞机</v>
      </c>
      <c r="F61" s="4">
        <v>16.21</v>
      </c>
      <c r="G61" s="4">
        <v>1000</v>
      </c>
      <c r="H61" s="4">
        <v>16210</v>
      </c>
      <c r="I61" s="4">
        <v>16188.76</v>
      </c>
      <c r="J61" s="4">
        <v>-3409</v>
      </c>
      <c r="K61" s="4">
        <v>0</v>
      </c>
      <c r="L61" s="4" t="str">
        <f t="shared" si="2"/>
        <v>人民币</v>
      </c>
      <c r="M61" s="4" t="str">
        <f>"T4002501"</f>
        <v>T4002501</v>
      </c>
      <c r="N61" s="4" t="str">
        <f t="shared" ref="N61:N63" si="55">"0149593788"</f>
        <v>0149593788</v>
      </c>
      <c r="O61" s="4" t="str">
        <f t="shared" si="4"/>
        <v>300100052893</v>
      </c>
    </row>
    <row r="62" spans="1:15">
      <c r="A62" s="4" t="str">
        <f t="shared" si="52"/>
        <v>20180130</v>
      </c>
      <c r="B62" s="4" t="str">
        <f t="shared" si="53"/>
        <v>20180130</v>
      </c>
      <c r="C62" s="4" t="str">
        <f t="shared" si="54"/>
        <v>证券卖出</v>
      </c>
      <c r="D62" s="4" t="str">
        <f>"150182"</f>
        <v>150182</v>
      </c>
      <c r="E62" s="4" t="str">
        <f>"军工B"</f>
        <v>军工B</v>
      </c>
      <c r="F62" s="4">
        <v>0.736</v>
      </c>
      <c r="G62" s="4">
        <v>20000</v>
      </c>
      <c r="H62" s="4">
        <v>14720</v>
      </c>
      <c r="I62" s="4">
        <v>14715</v>
      </c>
      <c r="J62" s="4">
        <v>11306</v>
      </c>
      <c r="K62" s="4">
        <v>0</v>
      </c>
      <c r="L62" s="4" t="str">
        <f t="shared" si="2"/>
        <v>人民币</v>
      </c>
      <c r="M62" s="4" t="str">
        <f>"T4002513"</f>
        <v>T4002513</v>
      </c>
      <c r="N62" s="4" t="str">
        <f t="shared" si="55"/>
        <v>0149593788</v>
      </c>
      <c r="O62" s="4" t="str">
        <f t="shared" si="4"/>
        <v>300100052893</v>
      </c>
    </row>
    <row r="63" spans="1:15">
      <c r="A63" s="4" t="str">
        <f t="shared" si="52"/>
        <v>20180130</v>
      </c>
      <c r="B63" s="4" t="str">
        <f t="shared" si="53"/>
        <v>20180130</v>
      </c>
      <c r="C63" s="4" t="str">
        <f>"证券买入"</f>
        <v>证券买入</v>
      </c>
      <c r="D63" s="4" t="str">
        <f>"300463"</f>
        <v>300463</v>
      </c>
      <c r="E63" s="4" t="str">
        <f>"迈克生物"</f>
        <v>迈克生物</v>
      </c>
      <c r="F63" s="4">
        <v>22.6</v>
      </c>
      <c r="G63" s="4">
        <v>500</v>
      </c>
      <c r="H63" s="4">
        <v>11300</v>
      </c>
      <c r="I63" s="4">
        <v>-11305</v>
      </c>
      <c r="J63" s="4">
        <v>1</v>
      </c>
      <c r="K63" s="4">
        <v>500</v>
      </c>
      <c r="L63" s="4" t="str">
        <f t="shared" si="2"/>
        <v>人民币</v>
      </c>
      <c r="M63" s="4" t="str">
        <f>"T4007556"</f>
        <v>T4007556</v>
      </c>
      <c r="N63" s="4" t="str">
        <f t="shared" si="55"/>
        <v>0149593788</v>
      </c>
      <c r="O63" s="4" t="str">
        <f t="shared" si="4"/>
        <v>300100052893</v>
      </c>
    </row>
    <row r="64" spans="1:15">
      <c r="A64" s="4" t="str">
        <f t="shared" ref="A64:A71" si="56">"20180131"</f>
        <v>20180131</v>
      </c>
      <c r="B64" s="4" t="str">
        <f t="shared" ref="B64:B71" si="57">"20180131"</f>
        <v>20180131</v>
      </c>
      <c r="C64" s="4" t="str">
        <f>"基金申购拨出"</f>
        <v>基金申购拨出</v>
      </c>
      <c r="D64" s="4" t="str">
        <f>"AA0007"</f>
        <v>AA0007</v>
      </c>
      <c r="E64" s="4" t="str">
        <f>"银河水星1号集合"</f>
        <v>银河水星1号集合</v>
      </c>
      <c r="F64" s="4">
        <v>0</v>
      </c>
      <c r="G64" s="4">
        <v>0</v>
      </c>
      <c r="H64" s="4">
        <v>0</v>
      </c>
      <c r="I64" s="4">
        <v>-62204.27</v>
      </c>
      <c r="J64" s="4">
        <v>-62203.27</v>
      </c>
      <c r="K64" s="4">
        <v>0</v>
      </c>
      <c r="L64" s="4" t="str">
        <f t="shared" si="2"/>
        <v>人民币</v>
      </c>
      <c r="N64" s="4" t="str">
        <f>"980149593788"</f>
        <v>980149593788</v>
      </c>
      <c r="O64" s="4" t="str">
        <f t="shared" si="4"/>
        <v>300100052893</v>
      </c>
    </row>
    <row r="65" spans="1:15">
      <c r="A65" s="4" t="str">
        <f t="shared" si="56"/>
        <v>20180131</v>
      </c>
      <c r="B65" s="4" t="str">
        <f>"20180123"</f>
        <v>20180123</v>
      </c>
      <c r="C65" s="4" t="str">
        <f>"新股入帐"</f>
        <v>新股入帐</v>
      </c>
      <c r="D65" s="4" t="str">
        <f>"603506"</f>
        <v>603506</v>
      </c>
      <c r="E65" s="4" t="str">
        <f>"新代码"</f>
        <v>新代码</v>
      </c>
      <c r="F65" s="4">
        <v>16.25</v>
      </c>
      <c r="G65" s="4">
        <v>1000</v>
      </c>
      <c r="H65" s="4">
        <v>0</v>
      </c>
      <c r="I65" s="4">
        <v>0</v>
      </c>
      <c r="J65" s="4">
        <v>-62203.27</v>
      </c>
      <c r="K65" s="4">
        <v>1000</v>
      </c>
      <c r="L65" s="4" t="str">
        <f t="shared" si="2"/>
        <v>人民币</v>
      </c>
      <c r="N65" s="4" t="str">
        <f>"A368402599"</f>
        <v>A368402599</v>
      </c>
      <c r="O65" s="4" t="str">
        <f t="shared" si="4"/>
        <v>300100052893</v>
      </c>
    </row>
    <row r="66" spans="1:15">
      <c r="A66" s="4" t="str">
        <f t="shared" si="56"/>
        <v>20180131</v>
      </c>
      <c r="B66" s="4" t="str">
        <f t="shared" si="57"/>
        <v>20180131</v>
      </c>
      <c r="C66" s="4" t="str">
        <f t="shared" si="54"/>
        <v>证券卖出</v>
      </c>
      <c r="D66" s="4" t="str">
        <f>"002925"</f>
        <v>002925</v>
      </c>
      <c r="E66" s="4" t="str">
        <f>"盈趣科技"</f>
        <v>盈趣科技</v>
      </c>
      <c r="F66" s="4">
        <v>80.35</v>
      </c>
      <c r="G66" s="4">
        <v>500</v>
      </c>
      <c r="H66" s="4">
        <v>40175</v>
      </c>
      <c r="I66" s="4">
        <v>40122.37</v>
      </c>
      <c r="J66" s="4">
        <v>-22080.9</v>
      </c>
      <c r="K66" s="4">
        <v>0</v>
      </c>
      <c r="L66" s="4" t="str">
        <f t="shared" ref="L66:L129" si="58">"人民币"</f>
        <v>人民币</v>
      </c>
      <c r="M66" s="4" t="str">
        <f>"T4000610"</f>
        <v>T4000610</v>
      </c>
      <c r="N66" s="4" t="str">
        <f t="shared" ref="N66:N71" si="59">"0149593788"</f>
        <v>0149593788</v>
      </c>
      <c r="O66" s="4" t="str">
        <f t="shared" ref="O66:O129" si="60">"300100052893"</f>
        <v>300100052893</v>
      </c>
    </row>
    <row r="67" spans="1:15">
      <c r="A67" s="4" t="str">
        <f t="shared" si="56"/>
        <v>20180131</v>
      </c>
      <c r="B67" s="4" t="str">
        <f t="shared" si="57"/>
        <v>20180131</v>
      </c>
      <c r="C67" s="4" t="str">
        <f t="shared" si="54"/>
        <v>证券卖出</v>
      </c>
      <c r="D67" s="4" t="str">
        <f>"600575"</f>
        <v>600575</v>
      </c>
      <c r="E67" s="4" t="str">
        <f>"皖江物流"</f>
        <v>皖江物流</v>
      </c>
      <c r="F67" s="4">
        <v>4.02</v>
      </c>
      <c r="G67" s="4">
        <v>11500</v>
      </c>
      <c r="H67" s="4">
        <v>46230</v>
      </c>
      <c r="I67" s="4">
        <v>46168.52</v>
      </c>
      <c r="J67" s="4">
        <v>24087.62</v>
      </c>
      <c r="K67" s="4">
        <v>0</v>
      </c>
      <c r="L67" s="4" t="str">
        <f t="shared" si="58"/>
        <v>人民币</v>
      </c>
      <c r="M67" s="4" t="str">
        <f>"0136001160"</f>
        <v>0136001160</v>
      </c>
      <c r="N67" s="4" t="str">
        <f>"A368402599"</f>
        <v>A368402599</v>
      </c>
      <c r="O67" s="4" t="str">
        <f t="shared" si="60"/>
        <v>300100052893</v>
      </c>
    </row>
    <row r="68" spans="1:15">
      <c r="A68" s="4" t="str">
        <f t="shared" si="56"/>
        <v>20180131</v>
      </c>
      <c r="B68" s="4" t="str">
        <f t="shared" si="57"/>
        <v>20180131</v>
      </c>
      <c r="C68" s="4" t="str">
        <f>"证券买入"</f>
        <v>证券买入</v>
      </c>
      <c r="D68" s="4" t="str">
        <f>"000768"</f>
        <v>000768</v>
      </c>
      <c r="E68" s="4" t="str">
        <f>"中航飞机"</f>
        <v>中航飞机</v>
      </c>
      <c r="F68" s="4">
        <v>16.12</v>
      </c>
      <c r="G68" s="4">
        <v>2000</v>
      </c>
      <c r="H68" s="4">
        <v>32240</v>
      </c>
      <c r="I68" s="4">
        <v>-32249.99</v>
      </c>
      <c r="J68" s="4">
        <v>-8162.37</v>
      </c>
      <c r="K68" s="4">
        <v>2000</v>
      </c>
      <c r="L68" s="4" t="str">
        <f t="shared" si="58"/>
        <v>人民币</v>
      </c>
      <c r="M68" s="4" t="str">
        <f>"T4001075"</f>
        <v>T4001075</v>
      </c>
      <c r="N68" s="4" t="str">
        <f t="shared" si="59"/>
        <v>0149593788</v>
      </c>
      <c r="O68" s="4" t="str">
        <f t="shared" si="60"/>
        <v>300100052893</v>
      </c>
    </row>
    <row r="69" spans="1:15">
      <c r="A69" s="4" t="str">
        <f t="shared" si="56"/>
        <v>20180131</v>
      </c>
      <c r="B69" s="4" t="str">
        <f t="shared" si="57"/>
        <v>20180131</v>
      </c>
      <c r="C69" s="4" t="str">
        <f t="shared" ref="C69:C73" si="61">"证券卖出"</f>
        <v>证券卖出</v>
      </c>
      <c r="D69" s="4" t="str">
        <f>"300463"</f>
        <v>300463</v>
      </c>
      <c r="E69" s="4" t="str">
        <f>"迈克生物"</f>
        <v>迈克生物</v>
      </c>
      <c r="F69" s="4">
        <v>21.95</v>
      </c>
      <c r="G69" s="4">
        <v>500</v>
      </c>
      <c r="H69" s="4">
        <v>10975</v>
      </c>
      <c r="I69" s="4">
        <v>10959.02</v>
      </c>
      <c r="J69" s="4">
        <v>2796.65</v>
      </c>
      <c r="K69" s="4">
        <v>0</v>
      </c>
      <c r="L69" s="4" t="str">
        <f t="shared" si="58"/>
        <v>人民币</v>
      </c>
      <c r="M69" s="4" t="str">
        <f>"T4002766"</f>
        <v>T4002766</v>
      </c>
      <c r="N69" s="4" t="str">
        <f t="shared" si="59"/>
        <v>0149593788</v>
      </c>
      <c r="O69" s="4" t="str">
        <f t="shared" si="60"/>
        <v>300100052893</v>
      </c>
    </row>
    <row r="70" spans="1:15">
      <c r="A70" s="4" t="str">
        <f t="shared" si="56"/>
        <v>20180131</v>
      </c>
      <c r="B70" s="4" t="str">
        <f t="shared" si="57"/>
        <v>20180131</v>
      </c>
      <c r="C70" s="4" t="str">
        <f>"证券买入"</f>
        <v>证券买入</v>
      </c>
      <c r="D70" s="4" t="str">
        <f>"150153"</f>
        <v>150153</v>
      </c>
      <c r="E70" s="4" t="str">
        <f>"创业板B"</f>
        <v>创业板B</v>
      </c>
      <c r="F70" s="4">
        <v>0.606</v>
      </c>
      <c r="G70" s="4">
        <v>40000</v>
      </c>
      <c r="H70" s="4">
        <v>24240</v>
      </c>
      <c r="I70" s="4">
        <v>-24247.51</v>
      </c>
      <c r="J70" s="4">
        <v>-21450.86</v>
      </c>
      <c r="K70" s="4">
        <v>40000</v>
      </c>
      <c r="L70" s="4" t="str">
        <f t="shared" si="58"/>
        <v>人民币</v>
      </c>
      <c r="M70" s="4" t="str">
        <f>"T4004218"</f>
        <v>T4004218</v>
      </c>
      <c r="N70" s="4" t="str">
        <f t="shared" si="59"/>
        <v>0149593788</v>
      </c>
      <c r="O70" s="4" t="str">
        <f t="shared" si="60"/>
        <v>300100052893</v>
      </c>
    </row>
    <row r="71" spans="1:15">
      <c r="A71" s="4" t="str">
        <f t="shared" si="56"/>
        <v>20180131</v>
      </c>
      <c r="B71" s="4" t="str">
        <f t="shared" si="57"/>
        <v>20180131</v>
      </c>
      <c r="C71" s="4" t="str">
        <f t="shared" si="61"/>
        <v>证券卖出</v>
      </c>
      <c r="D71" s="4" t="str">
        <f>"000601"</f>
        <v>000601</v>
      </c>
      <c r="E71" s="4" t="str">
        <f>"韶能股份"</f>
        <v>韶能股份</v>
      </c>
      <c r="F71" s="4">
        <v>7.16</v>
      </c>
      <c r="G71" s="4">
        <v>3000</v>
      </c>
      <c r="H71" s="4">
        <v>21480</v>
      </c>
      <c r="I71" s="4">
        <v>21451.86</v>
      </c>
      <c r="J71" s="4">
        <v>1</v>
      </c>
      <c r="K71" s="4">
        <v>22200</v>
      </c>
      <c r="L71" s="4" t="str">
        <f t="shared" si="58"/>
        <v>人民币</v>
      </c>
      <c r="M71" s="4" t="str">
        <f>"T4004746"</f>
        <v>T4004746</v>
      </c>
      <c r="N71" s="4" t="str">
        <f t="shared" si="59"/>
        <v>0149593788</v>
      </c>
      <c r="O71" s="4" t="str">
        <f t="shared" si="60"/>
        <v>300100052893</v>
      </c>
    </row>
    <row r="72" spans="1:15">
      <c r="A72" s="4" t="str">
        <f>"20180201"</f>
        <v>20180201</v>
      </c>
      <c r="B72" s="4" t="str">
        <f>"20180201"</f>
        <v>20180201</v>
      </c>
      <c r="C72" s="4" t="str">
        <f>"基金申购拨出"</f>
        <v>基金申购拨出</v>
      </c>
      <c r="D72" s="4" t="str">
        <f t="shared" ref="D72:D77" si="62">"AA0007"</f>
        <v>AA0007</v>
      </c>
      <c r="E72" s="4" t="str">
        <f t="shared" ref="E72:E77" si="63">"银河水星1号集合"</f>
        <v>银河水星1号集合</v>
      </c>
      <c r="F72" s="4">
        <v>0</v>
      </c>
      <c r="G72" s="4">
        <v>0</v>
      </c>
      <c r="H72" s="4">
        <v>0</v>
      </c>
      <c r="I72" s="4">
        <v>-23292.76</v>
      </c>
      <c r="J72" s="4">
        <v>-23291.76</v>
      </c>
      <c r="K72" s="4">
        <v>0</v>
      </c>
      <c r="L72" s="4" t="str">
        <f t="shared" si="58"/>
        <v>人民币</v>
      </c>
      <c r="N72" s="4" t="str">
        <f t="shared" ref="N72:N77" si="64">"980149593788"</f>
        <v>980149593788</v>
      </c>
      <c r="O72" s="4" t="str">
        <f t="shared" si="60"/>
        <v>300100052893</v>
      </c>
    </row>
    <row r="73" spans="1:15">
      <c r="A73" s="4" t="str">
        <f>"20180201"</f>
        <v>20180201</v>
      </c>
      <c r="B73" s="4" t="str">
        <f>"20180201"</f>
        <v>20180201</v>
      </c>
      <c r="C73" s="4" t="str">
        <f t="shared" si="61"/>
        <v>证券卖出</v>
      </c>
      <c r="D73" s="4" t="str">
        <f>"150153"</f>
        <v>150153</v>
      </c>
      <c r="E73" s="4" t="str">
        <f>"创业板B"</f>
        <v>创业板B</v>
      </c>
      <c r="F73" s="4">
        <v>0.584</v>
      </c>
      <c r="G73" s="4">
        <v>40000</v>
      </c>
      <c r="H73" s="4">
        <v>23360</v>
      </c>
      <c r="I73" s="4">
        <v>23352.76</v>
      </c>
      <c r="J73" s="4">
        <v>61</v>
      </c>
      <c r="K73" s="4">
        <v>0</v>
      </c>
      <c r="L73" s="4" t="str">
        <f t="shared" si="58"/>
        <v>人民币</v>
      </c>
      <c r="M73" s="4" t="str">
        <f>"T4003468"</f>
        <v>T4003468</v>
      </c>
      <c r="N73" s="4" t="str">
        <f t="shared" ref="N73:N76" si="65">"0149593788"</f>
        <v>0149593788</v>
      </c>
      <c r="O73" s="4" t="str">
        <f t="shared" si="60"/>
        <v>300100052893</v>
      </c>
    </row>
    <row r="74" spans="1:15">
      <c r="A74" s="4" t="str">
        <f t="shared" ref="A74:A76" si="66">"20180202"</f>
        <v>20180202</v>
      </c>
      <c r="B74" s="4" t="str">
        <f>"0"</f>
        <v>0</v>
      </c>
      <c r="C74" s="4" t="str">
        <f>"股息红利差异扣税"</f>
        <v>股息红利差异扣税</v>
      </c>
      <c r="D74" s="4" t="str">
        <f>"000601"</f>
        <v>000601</v>
      </c>
      <c r="E74" s="4" t="str">
        <f>"韶能股份"</f>
        <v>韶能股份</v>
      </c>
      <c r="F74" s="4">
        <v>0</v>
      </c>
      <c r="G74" s="4">
        <v>0</v>
      </c>
      <c r="H74" s="4">
        <v>0</v>
      </c>
      <c r="I74" s="4">
        <v>-60</v>
      </c>
      <c r="J74" s="4">
        <v>1</v>
      </c>
      <c r="K74" s="4">
        <v>0</v>
      </c>
      <c r="L74" s="4" t="str">
        <f t="shared" si="58"/>
        <v>人民币</v>
      </c>
      <c r="N74" s="4" t="str">
        <f t="shared" si="65"/>
        <v>0149593788</v>
      </c>
      <c r="O74" s="4" t="str">
        <f t="shared" si="60"/>
        <v>300100052893</v>
      </c>
    </row>
    <row r="75" spans="1:15">
      <c r="A75" s="4" t="str">
        <f t="shared" si="66"/>
        <v>20180202</v>
      </c>
      <c r="B75" s="4" t="str">
        <f>"20180202"</f>
        <v>20180202</v>
      </c>
      <c r="C75" s="4" t="str">
        <f>"基金申购拨出"</f>
        <v>基金申购拨出</v>
      </c>
      <c r="D75" s="4" t="str">
        <f t="shared" si="62"/>
        <v>AA0007</v>
      </c>
      <c r="E75" s="4" t="str">
        <f t="shared" si="63"/>
        <v>银河水星1号集合</v>
      </c>
      <c r="F75" s="4">
        <v>0</v>
      </c>
      <c r="G75" s="4">
        <v>0</v>
      </c>
      <c r="H75" s="4">
        <v>0</v>
      </c>
      <c r="I75" s="4">
        <v>-30799.6</v>
      </c>
      <c r="J75" s="4">
        <v>-30798.6</v>
      </c>
      <c r="K75" s="4">
        <v>0</v>
      </c>
      <c r="L75" s="4" t="str">
        <f t="shared" si="58"/>
        <v>人民币</v>
      </c>
      <c r="N75" s="4" t="str">
        <f t="shared" si="64"/>
        <v>980149593788</v>
      </c>
      <c r="O75" s="4" t="str">
        <f t="shared" si="60"/>
        <v>300100052893</v>
      </c>
    </row>
    <row r="76" spans="1:15">
      <c r="A76" s="4" t="str">
        <f t="shared" si="66"/>
        <v>20180202</v>
      </c>
      <c r="B76" s="4" t="str">
        <f>"20180202"</f>
        <v>20180202</v>
      </c>
      <c r="C76" s="4" t="str">
        <f>"证券卖出"</f>
        <v>证券卖出</v>
      </c>
      <c r="D76" s="4" t="str">
        <f>"000768"</f>
        <v>000768</v>
      </c>
      <c r="E76" s="4" t="str">
        <f>"中航飞机"</f>
        <v>中航飞机</v>
      </c>
      <c r="F76" s="4">
        <v>15.42</v>
      </c>
      <c r="G76" s="4">
        <v>2000</v>
      </c>
      <c r="H76" s="4">
        <v>30840</v>
      </c>
      <c r="I76" s="4">
        <v>30799.61</v>
      </c>
      <c r="J76" s="4">
        <v>1.01</v>
      </c>
      <c r="K76" s="4">
        <v>0</v>
      </c>
      <c r="L76" s="4" t="str">
        <f t="shared" si="58"/>
        <v>人民币</v>
      </c>
      <c r="M76" s="4" t="str">
        <f>"T4002044"</f>
        <v>T4002044</v>
      </c>
      <c r="N76" s="4" t="str">
        <f t="shared" si="65"/>
        <v>0149593788</v>
      </c>
      <c r="O76" s="4" t="str">
        <f t="shared" si="60"/>
        <v>300100052893</v>
      </c>
    </row>
    <row r="77" spans="1:15">
      <c r="A77" s="4" t="str">
        <f>"20180205"</f>
        <v>20180205</v>
      </c>
      <c r="B77" s="4" t="str">
        <f>"20180205"</f>
        <v>20180205</v>
      </c>
      <c r="C77" s="4" t="str">
        <f t="shared" ref="C77:C81" si="67">"基金赎回拨入"</f>
        <v>基金赎回拨入</v>
      </c>
      <c r="D77" s="4" t="str">
        <f t="shared" si="62"/>
        <v>AA0007</v>
      </c>
      <c r="E77" s="4" t="str">
        <f t="shared" si="63"/>
        <v>银河水星1号集合</v>
      </c>
      <c r="F77" s="4">
        <v>0</v>
      </c>
      <c r="G77" s="4">
        <v>10984</v>
      </c>
      <c r="H77" s="4">
        <v>0</v>
      </c>
      <c r="I77" s="4">
        <v>10984.99</v>
      </c>
      <c r="J77" s="4">
        <v>10986</v>
      </c>
      <c r="K77" s="4">
        <v>0</v>
      </c>
      <c r="L77" s="4" t="str">
        <f t="shared" si="58"/>
        <v>人民币</v>
      </c>
      <c r="N77" s="4" t="str">
        <f t="shared" si="64"/>
        <v>980149593788</v>
      </c>
      <c r="O77" s="4" t="str">
        <f t="shared" si="60"/>
        <v>300100052893</v>
      </c>
    </row>
    <row r="78" spans="1:15">
      <c r="A78" s="4" t="str">
        <f>"20180205"</f>
        <v>20180205</v>
      </c>
      <c r="B78" s="4" t="str">
        <f>"20180205"</f>
        <v>20180205</v>
      </c>
      <c r="C78" s="4" t="str">
        <f t="shared" ref="C78:C82" si="68">"证券买入"</f>
        <v>证券买入</v>
      </c>
      <c r="D78" s="4" t="str">
        <f t="shared" ref="D78:D83" si="69">"150153"</f>
        <v>150153</v>
      </c>
      <c r="E78" s="4" t="str">
        <f t="shared" ref="E78:E83" si="70">"创业板B"</f>
        <v>创业板B</v>
      </c>
      <c r="F78" s="4">
        <v>0.549</v>
      </c>
      <c r="G78" s="4">
        <v>20000</v>
      </c>
      <c r="H78" s="4">
        <v>10980</v>
      </c>
      <c r="I78" s="4">
        <v>-10985</v>
      </c>
      <c r="J78" s="4">
        <v>1</v>
      </c>
      <c r="K78" s="4">
        <v>20000</v>
      </c>
      <c r="L78" s="4" t="str">
        <f t="shared" si="58"/>
        <v>人民币</v>
      </c>
      <c r="M78" s="4" t="str">
        <f>"T4003027"</f>
        <v>T4003027</v>
      </c>
      <c r="N78" s="4" t="str">
        <f t="shared" ref="N78:N86" si="71">"0149593788"</f>
        <v>0149593788</v>
      </c>
      <c r="O78" s="4" t="str">
        <f t="shared" si="60"/>
        <v>300100052893</v>
      </c>
    </row>
    <row r="79" spans="1:15">
      <c r="A79" s="4" t="str">
        <f>"20180206"</f>
        <v>20180206</v>
      </c>
      <c r="B79" s="4" t="str">
        <f>"20180206"</f>
        <v>20180206</v>
      </c>
      <c r="C79" s="4" t="str">
        <f t="shared" si="67"/>
        <v>基金赎回拨入</v>
      </c>
      <c r="D79" s="4" t="str">
        <f>"AA0007"</f>
        <v>AA0007</v>
      </c>
      <c r="E79" s="4" t="str">
        <f>"银河水星1号集合"</f>
        <v>银河水星1号集合</v>
      </c>
      <c r="F79" s="4">
        <v>0</v>
      </c>
      <c r="G79" s="4">
        <v>10065</v>
      </c>
      <c r="H79" s="4">
        <v>0</v>
      </c>
      <c r="I79" s="4">
        <v>10065</v>
      </c>
      <c r="J79" s="4">
        <v>10066</v>
      </c>
      <c r="K79" s="4">
        <v>0</v>
      </c>
      <c r="L79" s="4" t="str">
        <f t="shared" si="58"/>
        <v>人民币</v>
      </c>
      <c r="N79" s="4" t="str">
        <f>"980149593788"</f>
        <v>980149593788</v>
      </c>
      <c r="O79" s="4" t="str">
        <f t="shared" si="60"/>
        <v>300100052893</v>
      </c>
    </row>
    <row r="80" spans="1:15">
      <c r="A80" s="4" t="str">
        <f>"20180206"</f>
        <v>20180206</v>
      </c>
      <c r="B80" s="4" t="str">
        <f>"20180206"</f>
        <v>20180206</v>
      </c>
      <c r="C80" s="4" t="str">
        <f t="shared" si="68"/>
        <v>证券买入</v>
      </c>
      <c r="D80" s="4" t="str">
        <f t="shared" si="69"/>
        <v>150153</v>
      </c>
      <c r="E80" s="4" t="str">
        <f t="shared" si="70"/>
        <v>创业板B</v>
      </c>
      <c r="F80" s="4">
        <v>0.503</v>
      </c>
      <c r="G80" s="4">
        <v>20000</v>
      </c>
      <c r="H80" s="4">
        <v>10060</v>
      </c>
      <c r="I80" s="4">
        <v>-10065</v>
      </c>
      <c r="J80" s="4">
        <v>1</v>
      </c>
      <c r="K80" s="4">
        <v>40000</v>
      </c>
      <c r="L80" s="4" t="str">
        <f t="shared" si="58"/>
        <v>人民币</v>
      </c>
      <c r="M80" s="4" t="str">
        <f>"T4000625"</f>
        <v>T4000625</v>
      </c>
      <c r="N80" s="4" t="str">
        <f t="shared" si="71"/>
        <v>0149593788</v>
      </c>
      <c r="O80" s="4" t="str">
        <f t="shared" si="60"/>
        <v>300100052893</v>
      </c>
    </row>
    <row r="81" spans="1:15">
      <c r="A81" s="4" t="str">
        <f t="shared" ref="A81:A86" si="72">"20180207"</f>
        <v>20180207</v>
      </c>
      <c r="B81" s="4" t="str">
        <f t="shared" ref="B81:B86" si="73">"20180207"</f>
        <v>20180207</v>
      </c>
      <c r="C81" s="4" t="str">
        <f t="shared" si="67"/>
        <v>基金赎回拨入</v>
      </c>
      <c r="D81" s="4" t="str">
        <f>"AA0007"</f>
        <v>AA0007</v>
      </c>
      <c r="E81" s="4" t="str">
        <f>"银河水星1号集合"</f>
        <v>银河水星1号集合</v>
      </c>
      <c r="F81" s="4">
        <v>0</v>
      </c>
      <c r="G81" s="4">
        <v>24880</v>
      </c>
      <c r="H81" s="4">
        <v>0</v>
      </c>
      <c r="I81" s="4">
        <v>24880.47</v>
      </c>
      <c r="J81" s="4">
        <v>24881.47</v>
      </c>
      <c r="K81" s="4">
        <v>0</v>
      </c>
      <c r="L81" s="4" t="str">
        <f t="shared" si="58"/>
        <v>人民币</v>
      </c>
      <c r="N81" s="4" t="str">
        <f>"980149593788"</f>
        <v>980149593788</v>
      </c>
      <c r="O81" s="4" t="str">
        <f t="shared" si="60"/>
        <v>300100052893</v>
      </c>
    </row>
    <row r="82" spans="1:15">
      <c r="A82" s="4" t="str">
        <f t="shared" si="72"/>
        <v>20180207</v>
      </c>
      <c r="B82" s="4" t="str">
        <f t="shared" si="73"/>
        <v>20180207</v>
      </c>
      <c r="C82" s="4" t="str">
        <f t="shared" si="68"/>
        <v>证券买入</v>
      </c>
      <c r="D82" s="4" t="str">
        <f t="shared" si="69"/>
        <v>150153</v>
      </c>
      <c r="E82" s="4" t="str">
        <f t="shared" si="70"/>
        <v>创业板B</v>
      </c>
      <c r="F82" s="4">
        <v>0.486</v>
      </c>
      <c r="G82" s="4">
        <v>20000</v>
      </c>
      <c r="H82" s="4">
        <v>9720</v>
      </c>
      <c r="I82" s="4">
        <v>-9725</v>
      </c>
      <c r="J82" s="4">
        <v>15156.47</v>
      </c>
      <c r="K82" s="4">
        <v>60000</v>
      </c>
      <c r="L82" s="4" t="str">
        <f t="shared" si="58"/>
        <v>人民币</v>
      </c>
      <c r="M82" s="4" t="str">
        <f>"T4000556"</f>
        <v>T4000556</v>
      </c>
      <c r="N82" s="4" t="str">
        <f t="shared" si="71"/>
        <v>0149593788</v>
      </c>
      <c r="O82" s="4" t="str">
        <f t="shared" si="60"/>
        <v>300100052893</v>
      </c>
    </row>
    <row r="83" spans="1:15">
      <c r="A83" s="4" t="str">
        <f t="shared" si="72"/>
        <v>20180207</v>
      </c>
      <c r="B83" s="4" t="str">
        <f t="shared" si="73"/>
        <v>20180207</v>
      </c>
      <c r="C83" s="4" t="str">
        <f>"证券卖出"</f>
        <v>证券卖出</v>
      </c>
      <c r="D83" s="4" t="str">
        <f t="shared" si="69"/>
        <v>150153</v>
      </c>
      <c r="E83" s="4" t="str">
        <f t="shared" si="70"/>
        <v>创业板B</v>
      </c>
      <c r="F83" s="4">
        <v>0.441</v>
      </c>
      <c r="G83" s="4">
        <v>40000</v>
      </c>
      <c r="H83" s="4">
        <v>17640</v>
      </c>
      <c r="I83" s="4">
        <v>17634.53</v>
      </c>
      <c r="J83" s="4">
        <v>32791</v>
      </c>
      <c r="K83" s="4">
        <v>20000</v>
      </c>
      <c r="L83" s="4" t="str">
        <f t="shared" si="58"/>
        <v>人民币</v>
      </c>
      <c r="M83" s="4" t="str">
        <f>"T4004587"</f>
        <v>T4004587</v>
      </c>
      <c r="N83" s="4" t="str">
        <f t="shared" si="71"/>
        <v>0149593788</v>
      </c>
      <c r="O83" s="4" t="str">
        <f t="shared" si="60"/>
        <v>300100052893</v>
      </c>
    </row>
    <row r="84" spans="1:15">
      <c r="A84" s="4" t="str">
        <f t="shared" si="72"/>
        <v>20180207</v>
      </c>
      <c r="B84" s="4" t="str">
        <f t="shared" si="73"/>
        <v>20180207</v>
      </c>
      <c r="C84" s="4" t="str">
        <f t="shared" ref="C84:C86" si="74">"证券买入"</f>
        <v>证券买入</v>
      </c>
      <c r="D84" s="4" t="str">
        <f>"000768"</f>
        <v>000768</v>
      </c>
      <c r="E84" s="4" t="str">
        <f>"中航飞机"</f>
        <v>中航飞机</v>
      </c>
      <c r="F84" s="4">
        <v>13.48</v>
      </c>
      <c r="G84" s="4">
        <v>1000</v>
      </c>
      <c r="H84" s="4">
        <v>13480</v>
      </c>
      <c r="I84" s="4">
        <v>-13485</v>
      </c>
      <c r="J84" s="4">
        <v>19306</v>
      </c>
      <c r="K84" s="4">
        <v>1000</v>
      </c>
      <c r="L84" s="4" t="str">
        <f t="shared" si="58"/>
        <v>人民币</v>
      </c>
      <c r="M84" s="4" t="str">
        <f>"T4008619"</f>
        <v>T4008619</v>
      </c>
      <c r="N84" s="4" t="str">
        <f t="shared" si="71"/>
        <v>0149593788</v>
      </c>
      <c r="O84" s="4" t="str">
        <f t="shared" si="60"/>
        <v>300100052893</v>
      </c>
    </row>
    <row r="85" spans="1:15">
      <c r="A85" s="4" t="str">
        <f t="shared" si="72"/>
        <v>20180207</v>
      </c>
      <c r="B85" s="4" t="str">
        <f t="shared" si="73"/>
        <v>20180207</v>
      </c>
      <c r="C85" s="4" t="str">
        <f t="shared" si="74"/>
        <v>证券买入</v>
      </c>
      <c r="D85" s="4" t="str">
        <f>"000601"</f>
        <v>000601</v>
      </c>
      <c r="E85" s="4" t="str">
        <f>"韶能股份"</f>
        <v>韶能股份</v>
      </c>
      <c r="F85" s="4">
        <v>6.67</v>
      </c>
      <c r="G85" s="4">
        <v>1500</v>
      </c>
      <c r="H85" s="4">
        <v>10005</v>
      </c>
      <c r="I85" s="4">
        <v>-10010</v>
      </c>
      <c r="J85" s="4">
        <v>9296</v>
      </c>
      <c r="K85" s="4">
        <v>23700</v>
      </c>
      <c r="L85" s="4" t="str">
        <f t="shared" si="58"/>
        <v>人民币</v>
      </c>
      <c r="M85" s="4" t="str">
        <f>"T4008705"</f>
        <v>T4008705</v>
      </c>
      <c r="N85" s="4" t="str">
        <f t="shared" si="71"/>
        <v>0149593788</v>
      </c>
      <c r="O85" s="4" t="str">
        <f t="shared" si="60"/>
        <v>300100052893</v>
      </c>
    </row>
    <row r="86" spans="1:15">
      <c r="A86" s="4" t="str">
        <f t="shared" si="72"/>
        <v>20180207</v>
      </c>
      <c r="B86" s="4" t="str">
        <f t="shared" si="73"/>
        <v>20180207</v>
      </c>
      <c r="C86" s="4" t="str">
        <f t="shared" si="74"/>
        <v>证券买入</v>
      </c>
      <c r="D86" s="4" t="str">
        <f>"150153"</f>
        <v>150153</v>
      </c>
      <c r="E86" s="4" t="str">
        <f>"创业板B"</f>
        <v>创业板B</v>
      </c>
      <c r="F86" s="4">
        <v>0.465</v>
      </c>
      <c r="G86" s="4">
        <v>20000</v>
      </c>
      <c r="H86" s="4">
        <v>9290</v>
      </c>
      <c r="I86" s="4">
        <v>-9295</v>
      </c>
      <c r="J86" s="4">
        <v>1</v>
      </c>
      <c r="K86" s="4">
        <v>40000</v>
      </c>
      <c r="L86" s="4" t="str">
        <f t="shared" si="58"/>
        <v>人民币</v>
      </c>
      <c r="M86" s="4" t="str">
        <f>"T4009540"</f>
        <v>T4009540</v>
      </c>
      <c r="N86" s="4" t="str">
        <f t="shared" si="71"/>
        <v>0149593788</v>
      </c>
      <c r="O86" s="4" t="str">
        <f t="shared" si="60"/>
        <v>300100052893</v>
      </c>
    </row>
    <row r="87" spans="1:15">
      <c r="A87" s="4" t="str">
        <f t="shared" ref="A87:A93" si="75">"20180208"</f>
        <v>20180208</v>
      </c>
      <c r="B87" s="4" t="str">
        <f t="shared" ref="B87:B93" si="76">"20180208"</f>
        <v>20180208</v>
      </c>
      <c r="C87" s="4" t="str">
        <f>"基金赎回拨入"</f>
        <v>基金赎回拨入</v>
      </c>
      <c r="D87" s="4" t="str">
        <f>"AA0007"</f>
        <v>AA0007</v>
      </c>
      <c r="E87" s="4" t="str">
        <f>"银河水星1号集合"</f>
        <v>银河水星1号集合</v>
      </c>
      <c r="F87" s="4">
        <v>0</v>
      </c>
      <c r="G87" s="4">
        <v>35648</v>
      </c>
      <c r="H87" s="4">
        <v>0</v>
      </c>
      <c r="I87" s="4">
        <v>35648.46</v>
      </c>
      <c r="J87" s="4">
        <v>35649.46</v>
      </c>
      <c r="K87" s="4">
        <v>0</v>
      </c>
      <c r="L87" s="4" t="str">
        <f t="shared" si="58"/>
        <v>人民币</v>
      </c>
      <c r="N87" s="4" t="str">
        <f>"980149593788"</f>
        <v>980149593788</v>
      </c>
      <c r="O87" s="4" t="str">
        <f t="shared" si="60"/>
        <v>300100052893</v>
      </c>
    </row>
    <row r="88" spans="1:15">
      <c r="A88" s="4" t="str">
        <f t="shared" si="75"/>
        <v>20180208</v>
      </c>
      <c r="B88" s="4" t="str">
        <f t="shared" si="76"/>
        <v>20180208</v>
      </c>
      <c r="C88" s="4" t="str">
        <f t="shared" ref="C88:C90" si="77">"证券买入"</f>
        <v>证券买入</v>
      </c>
      <c r="D88" s="4" t="str">
        <f>"159949"</f>
        <v>159949</v>
      </c>
      <c r="E88" s="4" t="str">
        <f>"创业板50"</f>
        <v>创业板50</v>
      </c>
      <c r="F88" s="4">
        <v>0.617</v>
      </c>
      <c r="G88" s="4">
        <v>20000</v>
      </c>
      <c r="H88" s="4">
        <v>12340</v>
      </c>
      <c r="I88" s="4">
        <v>-12345</v>
      </c>
      <c r="J88" s="4">
        <v>23304.46</v>
      </c>
      <c r="K88" s="4">
        <v>20000</v>
      </c>
      <c r="L88" s="4" t="str">
        <f t="shared" si="58"/>
        <v>人民币</v>
      </c>
      <c r="M88" s="4" t="str">
        <f>"T4000330"</f>
        <v>T4000330</v>
      </c>
      <c r="N88" s="4" t="str">
        <f t="shared" ref="N88:N93" si="78">"0149593788"</f>
        <v>0149593788</v>
      </c>
      <c r="O88" s="4" t="str">
        <f t="shared" si="60"/>
        <v>300100052893</v>
      </c>
    </row>
    <row r="89" spans="1:15">
      <c r="A89" s="4" t="str">
        <f t="shared" si="75"/>
        <v>20180208</v>
      </c>
      <c r="B89" s="4" t="str">
        <f t="shared" si="76"/>
        <v>20180208</v>
      </c>
      <c r="C89" s="4" t="str">
        <f t="shared" si="77"/>
        <v>证券买入</v>
      </c>
      <c r="D89" s="4" t="str">
        <f>"150153"</f>
        <v>150153</v>
      </c>
      <c r="E89" s="4" t="str">
        <f>"创业板B"</f>
        <v>创业板B</v>
      </c>
      <c r="F89" s="4">
        <v>0.451</v>
      </c>
      <c r="G89" s="4">
        <v>20000</v>
      </c>
      <c r="H89" s="4">
        <v>9020</v>
      </c>
      <c r="I89" s="4">
        <v>-9025</v>
      </c>
      <c r="J89" s="4">
        <v>14279.46</v>
      </c>
      <c r="K89" s="4">
        <v>60000</v>
      </c>
      <c r="L89" s="4" t="str">
        <f t="shared" si="58"/>
        <v>人民币</v>
      </c>
      <c r="M89" s="4" t="str">
        <f>"T4001164"</f>
        <v>T4001164</v>
      </c>
      <c r="N89" s="4" t="str">
        <f t="shared" si="78"/>
        <v>0149593788</v>
      </c>
      <c r="O89" s="4" t="str">
        <f t="shared" si="60"/>
        <v>300100052893</v>
      </c>
    </row>
    <row r="90" spans="1:15">
      <c r="A90" s="4" t="str">
        <f t="shared" si="75"/>
        <v>20180208</v>
      </c>
      <c r="B90" s="4" t="str">
        <f t="shared" si="76"/>
        <v>20180208</v>
      </c>
      <c r="C90" s="4" t="str">
        <f t="shared" si="77"/>
        <v>证券买入</v>
      </c>
      <c r="D90" s="4" t="str">
        <f>"150182"</f>
        <v>150182</v>
      </c>
      <c r="E90" s="4" t="str">
        <f>"军工B"</f>
        <v>军工B</v>
      </c>
      <c r="F90" s="4">
        <v>0.504</v>
      </c>
      <c r="G90" s="4">
        <v>20000</v>
      </c>
      <c r="H90" s="4">
        <v>10080</v>
      </c>
      <c r="I90" s="4">
        <v>-10085</v>
      </c>
      <c r="J90" s="4">
        <v>4194.46</v>
      </c>
      <c r="K90" s="4">
        <v>20000</v>
      </c>
      <c r="L90" s="4" t="str">
        <f t="shared" si="58"/>
        <v>人民币</v>
      </c>
      <c r="M90" s="4" t="str">
        <f>"T4001250"</f>
        <v>T4001250</v>
      </c>
      <c r="N90" s="4" t="str">
        <f t="shared" si="78"/>
        <v>0149593788</v>
      </c>
      <c r="O90" s="4" t="str">
        <f t="shared" si="60"/>
        <v>300100052893</v>
      </c>
    </row>
    <row r="91" spans="1:15">
      <c r="A91" s="4" t="str">
        <f t="shared" si="75"/>
        <v>20180208</v>
      </c>
      <c r="B91" s="4" t="str">
        <f t="shared" si="76"/>
        <v>20180208</v>
      </c>
      <c r="C91" s="4" t="str">
        <f t="shared" ref="C91:C98" si="79">"证券卖出"</f>
        <v>证券卖出</v>
      </c>
      <c r="D91" s="4" t="str">
        <f t="shared" ref="D91:D95" si="80">"000768"</f>
        <v>000768</v>
      </c>
      <c r="E91" s="4" t="str">
        <f t="shared" ref="E91:E95" si="81">"中航飞机"</f>
        <v>中航飞机</v>
      </c>
      <c r="F91" s="4">
        <v>13.46</v>
      </c>
      <c r="G91" s="4">
        <v>1000</v>
      </c>
      <c r="H91" s="4">
        <v>13460</v>
      </c>
      <c r="I91" s="4">
        <v>13441.54</v>
      </c>
      <c r="J91" s="4">
        <v>17636</v>
      </c>
      <c r="K91" s="4">
        <v>0</v>
      </c>
      <c r="L91" s="4" t="str">
        <f t="shared" si="58"/>
        <v>人民币</v>
      </c>
      <c r="M91" s="4" t="str">
        <f>"T4003540"</f>
        <v>T4003540</v>
      </c>
      <c r="N91" s="4" t="str">
        <f t="shared" si="78"/>
        <v>0149593788</v>
      </c>
      <c r="O91" s="4" t="str">
        <f t="shared" si="60"/>
        <v>300100052893</v>
      </c>
    </row>
    <row r="92" spans="1:15">
      <c r="A92" s="4" t="str">
        <f t="shared" si="75"/>
        <v>20180208</v>
      </c>
      <c r="B92" s="4" t="str">
        <f t="shared" si="76"/>
        <v>20180208</v>
      </c>
      <c r="C92" s="4" t="str">
        <f t="shared" si="79"/>
        <v>证券卖出</v>
      </c>
      <c r="D92" s="4" t="str">
        <f>"150153"</f>
        <v>150153</v>
      </c>
      <c r="E92" s="4" t="str">
        <f>"创业板B"</f>
        <v>创业板B</v>
      </c>
      <c r="F92" s="4">
        <v>0.458</v>
      </c>
      <c r="G92" s="4">
        <v>20000</v>
      </c>
      <c r="H92" s="4">
        <v>9160</v>
      </c>
      <c r="I92" s="4">
        <v>9155</v>
      </c>
      <c r="J92" s="4">
        <v>26791</v>
      </c>
      <c r="K92" s="4">
        <v>40000</v>
      </c>
      <c r="L92" s="4" t="str">
        <f t="shared" si="58"/>
        <v>人民币</v>
      </c>
      <c r="M92" s="4" t="str">
        <f>"T4003851"</f>
        <v>T4003851</v>
      </c>
      <c r="N92" s="4" t="str">
        <f t="shared" si="78"/>
        <v>0149593788</v>
      </c>
      <c r="O92" s="4" t="str">
        <f t="shared" si="60"/>
        <v>300100052893</v>
      </c>
    </row>
    <row r="93" spans="1:15">
      <c r="A93" s="4" t="str">
        <f t="shared" si="75"/>
        <v>20180208</v>
      </c>
      <c r="B93" s="4" t="str">
        <f t="shared" si="76"/>
        <v>20180208</v>
      </c>
      <c r="C93" s="4" t="str">
        <f>"证券买入"</f>
        <v>证券买入</v>
      </c>
      <c r="D93" s="4" t="str">
        <f t="shared" si="80"/>
        <v>000768</v>
      </c>
      <c r="E93" s="4" t="str">
        <f t="shared" si="81"/>
        <v>中航飞机</v>
      </c>
      <c r="F93" s="4">
        <v>13.42</v>
      </c>
      <c r="G93" s="4">
        <v>1000</v>
      </c>
      <c r="H93" s="4">
        <v>13420</v>
      </c>
      <c r="I93" s="4">
        <v>-13425</v>
      </c>
      <c r="J93" s="4">
        <v>13366</v>
      </c>
      <c r="K93" s="4">
        <v>1000</v>
      </c>
      <c r="L93" s="4" t="str">
        <f t="shared" si="58"/>
        <v>人民币</v>
      </c>
      <c r="M93" s="4" t="str">
        <f>"T4005531"</f>
        <v>T4005531</v>
      </c>
      <c r="N93" s="4" t="str">
        <f t="shared" si="78"/>
        <v>0149593788</v>
      </c>
      <c r="O93" s="4" t="str">
        <f t="shared" si="60"/>
        <v>300100052893</v>
      </c>
    </row>
    <row r="94" spans="1:15">
      <c r="A94" s="4" t="str">
        <f t="shared" ref="A94:A99" si="82">"20180209"</f>
        <v>20180209</v>
      </c>
      <c r="B94" s="4" t="str">
        <f t="shared" ref="B94:B99" si="83">"20180209"</f>
        <v>20180209</v>
      </c>
      <c r="C94" s="4" t="str">
        <f>"基金申购拨出"</f>
        <v>基金申购拨出</v>
      </c>
      <c r="D94" s="4" t="str">
        <f>"AA0007"</f>
        <v>AA0007</v>
      </c>
      <c r="E94" s="4" t="str">
        <f>"银河水星1号集合"</f>
        <v>银河水星1号集合</v>
      </c>
      <c r="F94" s="4">
        <v>0</v>
      </c>
      <c r="G94" s="4">
        <v>0</v>
      </c>
      <c r="H94" s="4">
        <v>0</v>
      </c>
      <c r="I94" s="4">
        <v>-21306.79</v>
      </c>
      <c r="J94" s="4">
        <v>-7940.79</v>
      </c>
      <c r="K94" s="4">
        <v>0</v>
      </c>
      <c r="L94" s="4" t="str">
        <f t="shared" si="58"/>
        <v>人民币</v>
      </c>
      <c r="N94" s="4" t="str">
        <f>"980149593788"</f>
        <v>980149593788</v>
      </c>
      <c r="O94" s="4" t="str">
        <f t="shared" si="60"/>
        <v>300100052893</v>
      </c>
    </row>
    <row r="95" spans="1:15">
      <c r="A95" s="4" t="str">
        <f t="shared" si="82"/>
        <v>20180209</v>
      </c>
      <c r="B95" s="4" t="str">
        <f t="shared" si="83"/>
        <v>20180209</v>
      </c>
      <c r="C95" s="4" t="str">
        <f>"证券买入"</f>
        <v>证券买入</v>
      </c>
      <c r="D95" s="4" t="str">
        <f t="shared" si="80"/>
        <v>000768</v>
      </c>
      <c r="E95" s="4" t="str">
        <f t="shared" si="81"/>
        <v>中航飞机</v>
      </c>
      <c r="F95" s="4">
        <v>13.14</v>
      </c>
      <c r="G95" s="4">
        <v>1000</v>
      </c>
      <c r="H95" s="4">
        <v>13140</v>
      </c>
      <c r="I95" s="4">
        <v>-13145</v>
      </c>
      <c r="J95" s="4">
        <v>-21085.79</v>
      </c>
      <c r="K95" s="4">
        <v>2000</v>
      </c>
      <c r="L95" s="4" t="str">
        <f t="shared" si="58"/>
        <v>人民币</v>
      </c>
      <c r="M95" s="4" t="str">
        <f>"T4001150"</f>
        <v>T4001150</v>
      </c>
      <c r="N95" s="4" t="str">
        <f t="shared" ref="N95:N98" si="84">"0149593788"</f>
        <v>0149593788</v>
      </c>
      <c r="O95" s="4" t="str">
        <f t="shared" si="60"/>
        <v>300100052893</v>
      </c>
    </row>
    <row r="96" spans="1:15">
      <c r="A96" s="4" t="str">
        <f t="shared" si="82"/>
        <v>20180209</v>
      </c>
      <c r="B96" s="4" t="str">
        <f t="shared" si="83"/>
        <v>20180209</v>
      </c>
      <c r="C96" s="4" t="str">
        <f t="shared" si="79"/>
        <v>证券卖出</v>
      </c>
      <c r="D96" s="4" t="str">
        <f>"159949"</f>
        <v>159949</v>
      </c>
      <c r="E96" s="4" t="str">
        <f>"创业板50"</f>
        <v>创业板50</v>
      </c>
      <c r="F96" s="4">
        <v>0.612</v>
      </c>
      <c r="G96" s="4">
        <v>20000</v>
      </c>
      <c r="H96" s="4">
        <v>12240</v>
      </c>
      <c r="I96" s="4">
        <v>12235</v>
      </c>
      <c r="J96" s="4">
        <v>-8850.79</v>
      </c>
      <c r="K96" s="4">
        <v>0</v>
      </c>
      <c r="L96" s="4" t="str">
        <f t="shared" si="58"/>
        <v>人民币</v>
      </c>
      <c r="M96" s="4" t="str">
        <f>"T4003092"</f>
        <v>T4003092</v>
      </c>
      <c r="N96" s="4" t="str">
        <f t="shared" si="84"/>
        <v>0149593788</v>
      </c>
      <c r="O96" s="4" t="str">
        <f t="shared" si="60"/>
        <v>300100052893</v>
      </c>
    </row>
    <row r="97" spans="1:15">
      <c r="A97" s="4" t="str">
        <f t="shared" si="82"/>
        <v>20180209</v>
      </c>
      <c r="B97" s="4" t="str">
        <f t="shared" si="83"/>
        <v>20180209</v>
      </c>
      <c r="C97" s="4" t="str">
        <f t="shared" si="79"/>
        <v>证券卖出</v>
      </c>
      <c r="D97" s="4" t="str">
        <f>"000768"</f>
        <v>000768</v>
      </c>
      <c r="E97" s="4" t="str">
        <f>"中航飞机"</f>
        <v>中航飞机</v>
      </c>
      <c r="F97" s="4">
        <v>12.94</v>
      </c>
      <c r="G97" s="4">
        <v>1000</v>
      </c>
      <c r="H97" s="4">
        <v>12940</v>
      </c>
      <c r="I97" s="4">
        <v>12922.06</v>
      </c>
      <c r="J97" s="4">
        <v>4071.27</v>
      </c>
      <c r="K97" s="4">
        <v>1000</v>
      </c>
      <c r="L97" s="4" t="str">
        <f t="shared" si="58"/>
        <v>人民币</v>
      </c>
      <c r="M97" s="4" t="str">
        <f>"T4003111"</f>
        <v>T4003111</v>
      </c>
      <c r="N97" s="4" t="str">
        <f t="shared" si="84"/>
        <v>0149593788</v>
      </c>
      <c r="O97" s="4" t="str">
        <f t="shared" si="60"/>
        <v>300100052893</v>
      </c>
    </row>
    <row r="98" spans="1:15">
      <c r="A98" s="4" t="str">
        <f t="shared" si="82"/>
        <v>20180209</v>
      </c>
      <c r="B98" s="4" t="str">
        <f t="shared" si="83"/>
        <v>20180209</v>
      </c>
      <c r="C98" s="4" t="str">
        <f t="shared" si="79"/>
        <v>证券卖出</v>
      </c>
      <c r="D98" s="4" t="str">
        <f>"150182"</f>
        <v>150182</v>
      </c>
      <c r="E98" s="4" t="str">
        <f>"军工B"</f>
        <v>军工B</v>
      </c>
      <c r="F98" s="4">
        <v>0.461</v>
      </c>
      <c r="G98" s="4">
        <v>20000</v>
      </c>
      <c r="H98" s="4">
        <v>9220</v>
      </c>
      <c r="I98" s="4">
        <v>9215</v>
      </c>
      <c r="J98" s="4">
        <v>13286.27</v>
      </c>
      <c r="K98" s="4">
        <v>0</v>
      </c>
      <c r="L98" s="4" t="str">
        <f t="shared" si="58"/>
        <v>人民币</v>
      </c>
      <c r="M98" s="4" t="str">
        <f>"T4003147"</f>
        <v>T4003147</v>
      </c>
      <c r="N98" s="4" t="str">
        <f t="shared" si="84"/>
        <v>0149593788</v>
      </c>
      <c r="O98" s="4" t="str">
        <f t="shared" si="60"/>
        <v>300100052893</v>
      </c>
    </row>
    <row r="99" spans="1:15">
      <c r="A99" s="4" t="str">
        <f t="shared" si="82"/>
        <v>20180209</v>
      </c>
      <c r="B99" s="4" t="str">
        <f t="shared" si="83"/>
        <v>20180209</v>
      </c>
      <c r="C99" s="4" t="str">
        <f>"证券买入"</f>
        <v>证券买入</v>
      </c>
      <c r="D99" s="4" t="str">
        <f>"600886"</f>
        <v>600886</v>
      </c>
      <c r="E99" s="4" t="str">
        <f>"国投电力"</f>
        <v>国投电力</v>
      </c>
      <c r="F99" s="4">
        <v>6.64</v>
      </c>
      <c r="G99" s="4">
        <v>2000</v>
      </c>
      <c r="H99" s="4">
        <v>13280</v>
      </c>
      <c r="I99" s="4">
        <v>-13285.27</v>
      </c>
      <c r="J99" s="4">
        <v>1</v>
      </c>
      <c r="K99" s="4">
        <v>2000</v>
      </c>
      <c r="L99" s="4" t="str">
        <f t="shared" si="58"/>
        <v>人民币</v>
      </c>
      <c r="M99" s="4" t="str">
        <f>"0136005242"</f>
        <v>0136005242</v>
      </c>
      <c r="N99" s="4" t="str">
        <f>"A368402599"</f>
        <v>A368402599</v>
      </c>
      <c r="O99" s="4" t="str">
        <f t="shared" si="60"/>
        <v>300100052893</v>
      </c>
    </row>
    <row r="100" spans="1:15">
      <c r="A100" s="4" t="str">
        <f>"20180212"</f>
        <v>20180212</v>
      </c>
      <c r="B100" s="4" t="str">
        <f>"20180212"</f>
        <v>20180212</v>
      </c>
      <c r="C100" s="4" t="str">
        <f>"基金赎回拨入"</f>
        <v>基金赎回拨入</v>
      </c>
      <c r="D100" s="4" t="str">
        <f t="shared" ref="D100:D105" si="85">"AA0007"</f>
        <v>AA0007</v>
      </c>
      <c r="E100" s="4" t="str">
        <f t="shared" ref="E100:E105" si="86">"银河水星1号集合"</f>
        <v>银河水星1号集合</v>
      </c>
      <c r="F100" s="4">
        <v>0</v>
      </c>
      <c r="G100" s="4">
        <v>8645</v>
      </c>
      <c r="H100" s="4">
        <v>0</v>
      </c>
      <c r="I100" s="4">
        <v>8645</v>
      </c>
      <c r="J100" s="4">
        <v>8646</v>
      </c>
      <c r="K100" s="4">
        <v>0</v>
      </c>
      <c r="L100" s="4" t="str">
        <f t="shared" si="58"/>
        <v>人民币</v>
      </c>
      <c r="N100" s="4" t="str">
        <f t="shared" ref="N100:N105" si="87">"980149593788"</f>
        <v>980149593788</v>
      </c>
      <c r="O100" s="4" t="str">
        <f t="shared" si="60"/>
        <v>300100052893</v>
      </c>
    </row>
    <row r="101" spans="1:15">
      <c r="A101" s="4" t="str">
        <f>"20180212"</f>
        <v>20180212</v>
      </c>
      <c r="B101" s="4" t="str">
        <f>"20180212"</f>
        <v>20180212</v>
      </c>
      <c r="C101" s="4" t="str">
        <f>"证券买入"</f>
        <v>证券买入</v>
      </c>
      <c r="D101" s="4" t="str">
        <f>"150153"</f>
        <v>150153</v>
      </c>
      <c r="E101" s="4" t="str">
        <f>"创业板B"</f>
        <v>创业板B</v>
      </c>
      <c r="F101" s="4">
        <v>0.432</v>
      </c>
      <c r="G101" s="4">
        <v>20000</v>
      </c>
      <c r="H101" s="4">
        <v>8640</v>
      </c>
      <c r="I101" s="4">
        <v>-8645</v>
      </c>
      <c r="J101" s="4">
        <v>1</v>
      </c>
      <c r="K101" s="4">
        <v>60000</v>
      </c>
      <c r="L101" s="4" t="str">
        <f t="shared" si="58"/>
        <v>人民币</v>
      </c>
      <c r="M101" s="4" t="str">
        <f>"T4000859"</f>
        <v>T4000859</v>
      </c>
      <c r="N101" s="4" t="str">
        <f t="shared" ref="N101:N106" si="88">"0149593788"</f>
        <v>0149593788</v>
      </c>
      <c r="O101" s="4" t="str">
        <f t="shared" si="60"/>
        <v>300100052893</v>
      </c>
    </row>
    <row r="102" spans="1:15">
      <c r="A102" s="4" t="str">
        <f t="shared" ref="A102:A109" si="89">"20180213"</f>
        <v>20180213</v>
      </c>
      <c r="B102" s="4" t="str">
        <f t="shared" ref="B102:B109" si="90">"20180213"</f>
        <v>20180213</v>
      </c>
      <c r="C102" s="4" t="str">
        <f>"资管计划实时取现"</f>
        <v>资管计划实时取现</v>
      </c>
      <c r="D102" s="4" t="str">
        <f>"119931"</f>
        <v>119931</v>
      </c>
      <c r="E102" s="4" t="str">
        <f>"水星1号"</f>
        <v>水星1号</v>
      </c>
      <c r="F102" s="4">
        <v>0</v>
      </c>
      <c r="G102" s="4">
        <v>0</v>
      </c>
      <c r="H102" s="4">
        <v>40000</v>
      </c>
      <c r="I102" s="4">
        <v>40000</v>
      </c>
      <c r="J102" s="4">
        <v>40001</v>
      </c>
      <c r="K102" s="4">
        <v>0</v>
      </c>
      <c r="L102" s="4" t="str">
        <f t="shared" si="58"/>
        <v>人民币</v>
      </c>
      <c r="M102" s="4" t="str">
        <f>"T4008503"</f>
        <v>T4008503</v>
      </c>
      <c r="N102" s="4" t="str">
        <f t="shared" si="88"/>
        <v>0149593788</v>
      </c>
      <c r="O102" s="4" t="str">
        <f t="shared" si="60"/>
        <v>300100052893</v>
      </c>
    </row>
    <row r="103" spans="1:15">
      <c r="A103" s="4" t="str">
        <f t="shared" si="89"/>
        <v>20180213</v>
      </c>
      <c r="B103" s="4" t="str">
        <f t="shared" si="90"/>
        <v>20180213</v>
      </c>
      <c r="C103" s="4" t="str">
        <f>"证券转银行"</f>
        <v>证券转银行</v>
      </c>
      <c r="F103" s="4">
        <v>0</v>
      </c>
      <c r="G103" s="4">
        <v>0</v>
      </c>
      <c r="H103" s="4">
        <v>0</v>
      </c>
      <c r="I103" s="4">
        <v>-40000</v>
      </c>
      <c r="J103" s="4">
        <v>1</v>
      </c>
      <c r="K103" s="4">
        <v>0</v>
      </c>
      <c r="L103" s="4" t="str">
        <f t="shared" si="58"/>
        <v>人民币</v>
      </c>
      <c r="O103" s="4" t="str">
        <f t="shared" si="60"/>
        <v>300100052893</v>
      </c>
    </row>
    <row r="104" spans="1:15">
      <c r="A104" s="4" t="str">
        <f t="shared" si="89"/>
        <v>20180213</v>
      </c>
      <c r="B104" s="4" t="str">
        <f t="shared" si="90"/>
        <v>20180213</v>
      </c>
      <c r="C104" s="4" t="str">
        <f>"资管T0取现拨入"</f>
        <v>资管T0取现拨入</v>
      </c>
      <c r="D104" s="4" t="str">
        <f t="shared" si="85"/>
        <v>AA0007</v>
      </c>
      <c r="E104" s="4" t="str">
        <f t="shared" si="86"/>
        <v>银河水星1号集合</v>
      </c>
      <c r="F104" s="4">
        <v>0</v>
      </c>
      <c r="G104" s="4">
        <v>40000</v>
      </c>
      <c r="H104" s="4">
        <v>40000</v>
      </c>
      <c r="I104" s="4">
        <v>40000</v>
      </c>
      <c r="J104" s="4">
        <v>40001</v>
      </c>
      <c r="K104" s="4">
        <v>0</v>
      </c>
      <c r="L104" s="4" t="str">
        <f t="shared" si="58"/>
        <v>人民币</v>
      </c>
      <c r="N104" s="4" t="str">
        <f t="shared" si="87"/>
        <v>980149593788</v>
      </c>
      <c r="O104" s="4" t="str">
        <f t="shared" si="60"/>
        <v>300100052893</v>
      </c>
    </row>
    <row r="105" spans="1:15">
      <c r="A105" s="4" t="str">
        <f t="shared" si="89"/>
        <v>20180213</v>
      </c>
      <c r="B105" s="4" t="str">
        <f t="shared" si="90"/>
        <v>20180213</v>
      </c>
      <c r="C105" s="4" t="str">
        <f>"基金申购拨出"</f>
        <v>基金申购拨出</v>
      </c>
      <c r="D105" s="4" t="str">
        <f t="shared" si="85"/>
        <v>AA0007</v>
      </c>
      <c r="E105" s="4" t="str">
        <f t="shared" si="86"/>
        <v>银河水星1号集合</v>
      </c>
      <c r="F105" s="4">
        <v>0</v>
      </c>
      <c r="G105" s="4">
        <v>0</v>
      </c>
      <c r="H105" s="4">
        <v>0</v>
      </c>
      <c r="I105" s="4">
        <v>-35821.96</v>
      </c>
      <c r="J105" s="4">
        <v>4179.04</v>
      </c>
      <c r="K105" s="4">
        <v>0</v>
      </c>
      <c r="L105" s="4" t="str">
        <f t="shared" si="58"/>
        <v>人民币</v>
      </c>
      <c r="N105" s="4" t="str">
        <f t="shared" si="87"/>
        <v>980149593788</v>
      </c>
      <c r="O105" s="4" t="str">
        <f t="shared" si="60"/>
        <v>300100052893</v>
      </c>
    </row>
    <row r="106" spans="1:15">
      <c r="A106" s="4" t="str">
        <f t="shared" si="89"/>
        <v>20180213</v>
      </c>
      <c r="B106" s="4" t="str">
        <f t="shared" si="90"/>
        <v>20180213</v>
      </c>
      <c r="C106" s="4" t="str">
        <f t="shared" ref="C106:C111" si="91">"证券卖出"</f>
        <v>证券卖出</v>
      </c>
      <c r="D106" s="4" t="str">
        <f>"150153"</f>
        <v>150153</v>
      </c>
      <c r="E106" s="4" t="str">
        <f>"创业板B"</f>
        <v>创业板B</v>
      </c>
      <c r="F106" s="4">
        <v>0.461</v>
      </c>
      <c r="G106" s="4">
        <v>20000</v>
      </c>
      <c r="H106" s="4">
        <v>9220</v>
      </c>
      <c r="I106" s="4">
        <v>9215</v>
      </c>
      <c r="J106" s="4">
        <v>13394.04</v>
      </c>
      <c r="K106" s="4">
        <v>40000</v>
      </c>
      <c r="L106" s="4" t="str">
        <f t="shared" si="58"/>
        <v>人民币</v>
      </c>
      <c r="M106" s="4" t="str">
        <f>"T4000422"</f>
        <v>T4000422</v>
      </c>
      <c r="N106" s="4" t="str">
        <f t="shared" si="88"/>
        <v>0149593788</v>
      </c>
      <c r="O106" s="4" t="str">
        <f t="shared" si="60"/>
        <v>300100052893</v>
      </c>
    </row>
    <row r="107" spans="1:15">
      <c r="A107" s="4" t="str">
        <f t="shared" si="89"/>
        <v>20180213</v>
      </c>
      <c r="B107" s="4" t="str">
        <f t="shared" si="90"/>
        <v>20180213</v>
      </c>
      <c r="C107" s="4" t="str">
        <f t="shared" si="91"/>
        <v>证券卖出</v>
      </c>
      <c r="D107" s="4" t="str">
        <f>"603506"</f>
        <v>603506</v>
      </c>
      <c r="E107" s="4" t="str">
        <f>"南都物业"</f>
        <v>南都物业</v>
      </c>
      <c r="F107" s="4">
        <v>36.12</v>
      </c>
      <c r="G107" s="4">
        <v>1000</v>
      </c>
      <c r="H107" s="4">
        <v>36120</v>
      </c>
      <c r="I107" s="4">
        <v>36071.96</v>
      </c>
      <c r="J107" s="4">
        <v>49466</v>
      </c>
      <c r="K107" s="4">
        <v>0</v>
      </c>
      <c r="L107" s="4" t="str">
        <f t="shared" si="58"/>
        <v>人民币</v>
      </c>
      <c r="M107" s="4" t="str">
        <f>"0136000586"</f>
        <v>0136000586</v>
      </c>
      <c r="N107" s="4" t="str">
        <f>"A368402599"</f>
        <v>A368402599</v>
      </c>
      <c r="O107" s="4" t="str">
        <f t="shared" si="60"/>
        <v>300100052893</v>
      </c>
    </row>
    <row r="108" spans="1:15">
      <c r="A108" s="4" t="str">
        <f t="shared" si="89"/>
        <v>20180213</v>
      </c>
      <c r="B108" s="4" t="str">
        <f t="shared" si="90"/>
        <v>20180213</v>
      </c>
      <c r="C108" s="4" t="str">
        <f>"资管计划实时取现"</f>
        <v>资管计划实时取现</v>
      </c>
      <c r="D108" s="4" t="str">
        <f>"119931"</f>
        <v>119931</v>
      </c>
      <c r="E108" s="4" t="str">
        <f>"水星1号"</f>
        <v>水星1号</v>
      </c>
      <c r="F108" s="4">
        <v>0</v>
      </c>
      <c r="G108" s="4">
        <v>0</v>
      </c>
      <c r="H108" s="4">
        <v>0</v>
      </c>
      <c r="I108" s="4">
        <v>-40000</v>
      </c>
      <c r="J108" s="4">
        <v>9466</v>
      </c>
      <c r="K108" s="4">
        <v>0</v>
      </c>
      <c r="L108" s="4" t="str">
        <f t="shared" si="58"/>
        <v>人民币</v>
      </c>
      <c r="M108" s="4" t="str">
        <f>"T4008503"</f>
        <v>T4008503</v>
      </c>
      <c r="N108" s="4" t="str">
        <f t="shared" ref="N108:N113" si="92">"0149593788"</f>
        <v>0149593788</v>
      </c>
      <c r="O108" s="4" t="str">
        <f t="shared" si="60"/>
        <v>300100052893</v>
      </c>
    </row>
    <row r="109" spans="1:15">
      <c r="A109" s="4" t="str">
        <f t="shared" si="89"/>
        <v>20180213</v>
      </c>
      <c r="B109" s="4" t="str">
        <f t="shared" si="90"/>
        <v>20180213</v>
      </c>
      <c r="C109" s="4" t="str">
        <f t="shared" ref="C109:C113" si="93">"证券买入"</f>
        <v>证券买入</v>
      </c>
      <c r="D109" s="4" t="str">
        <f>"150182"</f>
        <v>150182</v>
      </c>
      <c r="E109" s="4" t="str">
        <f>"军工B"</f>
        <v>军工B</v>
      </c>
      <c r="F109" s="4">
        <v>0.473</v>
      </c>
      <c r="G109" s="4">
        <v>20000</v>
      </c>
      <c r="H109" s="4">
        <v>9460</v>
      </c>
      <c r="I109" s="4">
        <v>-9465</v>
      </c>
      <c r="J109" s="4">
        <v>1</v>
      </c>
      <c r="K109" s="4">
        <v>20000</v>
      </c>
      <c r="L109" s="4" t="str">
        <f t="shared" si="58"/>
        <v>人民币</v>
      </c>
      <c r="M109" s="4" t="str">
        <f>"T4015376"</f>
        <v>T4015376</v>
      </c>
      <c r="N109" s="4" t="str">
        <f t="shared" si="92"/>
        <v>0149593788</v>
      </c>
      <c r="O109" s="4" t="str">
        <f t="shared" si="60"/>
        <v>300100052893</v>
      </c>
    </row>
    <row r="110" spans="1:15">
      <c r="A110" s="4" t="str">
        <f t="shared" ref="A110:A113" si="94">"20180214"</f>
        <v>20180214</v>
      </c>
      <c r="B110" s="4" t="str">
        <f t="shared" ref="B110:B113" si="95">"20180214"</f>
        <v>20180214</v>
      </c>
      <c r="C110" s="4" t="str">
        <f>"基金赎回拨入"</f>
        <v>基金赎回拨入</v>
      </c>
      <c r="D110" s="4" t="str">
        <f>"AA0007"</f>
        <v>AA0007</v>
      </c>
      <c r="E110" s="4" t="str">
        <f>"银河水星1号集合"</f>
        <v>银河水星1号集合</v>
      </c>
      <c r="F110" s="4">
        <v>0</v>
      </c>
      <c r="G110" s="4">
        <v>15705</v>
      </c>
      <c r="H110" s="4">
        <v>0</v>
      </c>
      <c r="I110" s="4">
        <v>15705</v>
      </c>
      <c r="J110" s="4">
        <v>15706</v>
      </c>
      <c r="K110" s="4">
        <v>0</v>
      </c>
      <c r="L110" s="4" t="str">
        <f t="shared" si="58"/>
        <v>人民币</v>
      </c>
      <c r="N110" s="4" t="str">
        <f>"980149593788"</f>
        <v>980149593788</v>
      </c>
      <c r="O110" s="4" t="str">
        <f t="shared" si="60"/>
        <v>300100052893</v>
      </c>
    </row>
    <row r="111" spans="1:15">
      <c r="A111" s="4" t="str">
        <f t="shared" si="94"/>
        <v>20180214</v>
      </c>
      <c r="B111" s="4" t="str">
        <f t="shared" si="95"/>
        <v>20180214</v>
      </c>
      <c r="C111" s="4" t="str">
        <f t="shared" si="91"/>
        <v>证券卖出</v>
      </c>
      <c r="D111" s="4" t="str">
        <f>"150182"</f>
        <v>150182</v>
      </c>
      <c r="E111" s="4" t="str">
        <f>"军工B"</f>
        <v>军工B</v>
      </c>
      <c r="F111" s="4">
        <v>0.464</v>
      </c>
      <c r="G111" s="4">
        <v>20000</v>
      </c>
      <c r="H111" s="4">
        <v>9280</v>
      </c>
      <c r="I111" s="4">
        <v>9275</v>
      </c>
      <c r="J111" s="4">
        <v>24981</v>
      </c>
      <c r="K111" s="4">
        <v>0</v>
      </c>
      <c r="L111" s="4" t="str">
        <f t="shared" si="58"/>
        <v>人民币</v>
      </c>
      <c r="M111" s="4" t="str">
        <f>"T4002877"</f>
        <v>T4002877</v>
      </c>
      <c r="N111" s="4" t="str">
        <f t="shared" si="92"/>
        <v>0149593788</v>
      </c>
      <c r="O111" s="4" t="str">
        <f t="shared" si="60"/>
        <v>300100052893</v>
      </c>
    </row>
    <row r="112" spans="1:15">
      <c r="A112" s="4" t="str">
        <f t="shared" si="94"/>
        <v>20180214</v>
      </c>
      <c r="B112" s="4" t="str">
        <f t="shared" si="95"/>
        <v>20180214</v>
      </c>
      <c r="C112" s="4" t="str">
        <f t="shared" si="93"/>
        <v>证券买入</v>
      </c>
      <c r="D112" s="4" t="str">
        <f>"000768"</f>
        <v>000768</v>
      </c>
      <c r="E112" s="4" t="str">
        <f>"中航飞机"</f>
        <v>中航飞机</v>
      </c>
      <c r="F112" s="4">
        <v>13.25</v>
      </c>
      <c r="G112" s="4">
        <v>1000</v>
      </c>
      <c r="H112" s="4">
        <v>13250</v>
      </c>
      <c r="I112" s="4">
        <v>-13255</v>
      </c>
      <c r="J112" s="4">
        <v>11726</v>
      </c>
      <c r="K112" s="4">
        <v>2000</v>
      </c>
      <c r="L112" s="4" t="str">
        <f t="shared" si="58"/>
        <v>人民币</v>
      </c>
      <c r="M112" s="4" t="str">
        <f>"T4004678"</f>
        <v>T4004678</v>
      </c>
      <c r="N112" s="4" t="str">
        <f t="shared" si="92"/>
        <v>0149593788</v>
      </c>
      <c r="O112" s="4" t="str">
        <f t="shared" si="60"/>
        <v>300100052893</v>
      </c>
    </row>
    <row r="113" spans="1:15">
      <c r="A113" s="4" t="str">
        <f t="shared" si="94"/>
        <v>20180214</v>
      </c>
      <c r="B113" s="4" t="str">
        <f t="shared" si="95"/>
        <v>20180214</v>
      </c>
      <c r="C113" s="4" t="str">
        <f t="shared" si="93"/>
        <v>证券买入</v>
      </c>
      <c r="D113" s="4" t="str">
        <f>"002015"</f>
        <v>002015</v>
      </c>
      <c r="E113" s="4" t="str">
        <f>"霞客环保"</f>
        <v>霞客环保</v>
      </c>
      <c r="F113" s="4">
        <v>5.86</v>
      </c>
      <c r="G113" s="4">
        <v>2000</v>
      </c>
      <c r="H113" s="4">
        <v>11720</v>
      </c>
      <c r="I113" s="4">
        <v>-11725</v>
      </c>
      <c r="J113" s="4">
        <v>1</v>
      </c>
      <c r="K113" s="4">
        <v>2000</v>
      </c>
      <c r="L113" s="4" t="str">
        <f t="shared" si="58"/>
        <v>人民币</v>
      </c>
      <c r="M113" s="4" t="str">
        <f>"T4005835"</f>
        <v>T4005835</v>
      </c>
      <c r="N113" s="4" t="str">
        <f t="shared" si="92"/>
        <v>0149593788</v>
      </c>
      <c r="O113" s="4" t="str">
        <f t="shared" si="60"/>
        <v>300100052893</v>
      </c>
    </row>
    <row r="114" spans="1:15">
      <c r="A114" s="4" t="str">
        <f t="shared" ref="A114:A116" si="96">"20180222"</f>
        <v>20180222</v>
      </c>
      <c r="B114" s="4" t="str">
        <f t="shared" ref="B114:B116" si="97">"20180222"</f>
        <v>20180222</v>
      </c>
      <c r="C114" s="4" t="str">
        <f>"基金赎回拨入"</f>
        <v>基金赎回拨入</v>
      </c>
      <c r="D114" s="4" t="str">
        <f>"AA0007"</f>
        <v>AA0007</v>
      </c>
      <c r="E114" s="4" t="str">
        <f>"银河水星1号集合"</f>
        <v>银河水星1号集合</v>
      </c>
      <c r="F114" s="4">
        <v>0</v>
      </c>
      <c r="G114" s="4">
        <v>1601</v>
      </c>
      <c r="H114" s="4">
        <v>0</v>
      </c>
      <c r="I114" s="4">
        <v>1601.88</v>
      </c>
      <c r="J114" s="4">
        <v>1602.88</v>
      </c>
      <c r="K114" s="4">
        <v>0</v>
      </c>
      <c r="L114" s="4" t="str">
        <f t="shared" si="58"/>
        <v>人民币</v>
      </c>
      <c r="N114" s="4" t="str">
        <f>"980149593788"</f>
        <v>980149593788</v>
      </c>
      <c r="O114" s="4" t="str">
        <f t="shared" si="60"/>
        <v>300100052893</v>
      </c>
    </row>
    <row r="115" spans="1:15">
      <c r="A115" s="4" t="str">
        <f t="shared" si="96"/>
        <v>20180222</v>
      </c>
      <c r="B115" s="4" t="str">
        <f t="shared" si="97"/>
        <v>20180222</v>
      </c>
      <c r="C115" s="4" t="str">
        <f t="shared" ref="C115:C120" si="98">"证券卖出"</f>
        <v>证券卖出</v>
      </c>
      <c r="D115" s="4" t="str">
        <f>"002015"</f>
        <v>002015</v>
      </c>
      <c r="E115" s="4" t="str">
        <f>"霞客环保"</f>
        <v>霞客环保</v>
      </c>
      <c r="F115" s="4">
        <v>5.94</v>
      </c>
      <c r="G115" s="4">
        <v>2000</v>
      </c>
      <c r="H115" s="4">
        <v>11880</v>
      </c>
      <c r="I115" s="4">
        <v>11863.12</v>
      </c>
      <c r="J115" s="4">
        <v>13466</v>
      </c>
      <c r="K115" s="4">
        <v>0</v>
      </c>
      <c r="L115" s="4" t="str">
        <f t="shared" si="58"/>
        <v>人民币</v>
      </c>
      <c r="M115" s="4" t="str">
        <f>"T4001651"</f>
        <v>T4001651</v>
      </c>
      <c r="N115" s="4" t="str">
        <f t="shared" ref="N115:N119" si="99">"0149593788"</f>
        <v>0149593788</v>
      </c>
      <c r="O115" s="4" t="str">
        <f t="shared" si="60"/>
        <v>300100052893</v>
      </c>
    </row>
    <row r="116" spans="1:15">
      <c r="A116" s="4" t="str">
        <f t="shared" si="96"/>
        <v>20180222</v>
      </c>
      <c r="B116" s="4" t="str">
        <f t="shared" si="97"/>
        <v>20180222</v>
      </c>
      <c r="C116" s="4" t="str">
        <f t="shared" ref="C116:C121" si="100">"证券买入"</f>
        <v>证券买入</v>
      </c>
      <c r="D116" s="4" t="str">
        <f t="shared" ref="D116:D123" si="101">"000768"</f>
        <v>000768</v>
      </c>
      <c r="E116" s="4" t="str">
        <f t="shared" ref="E116:E123" si="102">"中航飞机"</f>
        <v>中航飞机</v>
      </c>
      <c r="F116" s="4">
        <v>13.46</v>
      </c>
      <c r="G116" s="4">
        <v>1000</v>
      </c>
      <c r="H116" s="4">
        <v>13460</v>
      </c>
      <c r="I116" s="4">
        <v>-13465</v>
      </c>
      <c r="J116" s="4">
        <v>1</v>
      </c>
      <c r="K116" s="4">
        <v>3000</v>
      </c>
      <c r="L116" s="4" t="str">
        <f t="shared" si="58"/>
        <v>人民币</v>
      </c>
      <c r="M116" s="4" t="str">
        <f>"T4001899"</f>
        <v>T4001899</v>
      </c>
      <c r="N116" s="4" t="str">
        <f t="shared" si="99"/>
        <v>0149593788</v>
      </c>
      <c r="O116" s="4" t="str">
        <f t="shared" si="60"/>
        <v>300100052893</v>
      </c>
    </row>
    <row r="117" spans="1:15">
      <c r="A117" s="4" t="str">
        <f t="shared" ref="A117:A123" si="103">"20180223"</f>
        <v>20180223</v>
      </c>
      <c r="B117" s="4" t="str">
        <f t="shared" ref="B117:B123" si="104">"20180223"</f>
        <v>20180223</v>
      </c>
      <c r="C117" s="4" t="str">
        <f>"基金申购拨出"</f>
        <v>基金申购拨出</v>
      </c>
      <c r="D117" s="4" t="str">
        <f>"AA0007"</f>
        <v>AA0007</v>
      </c>
      <c r="E117" s="4" t="str">
        <f>"银河水星1号集合"</f>
        <v>银河水星1号集合</v>
      </c>
      <c r="F117" s="4">
        <v>0</v>
      </c>
      <c r="G117" s="4">
        <v>0</v>
      </c>
      <c r="H117" s="4">
        <v>0</v>
      </c>
      <c r="I117" s="4">
        <v>-22301.62</v>
      </c>
      <c r="J117" s="4">
        <v>-22300.62</v>
      </c>
      <c r="K117" s="4">
        <v>0</v>
      </c>
      <c r="L117" s="4" t="str">
        <f t="shared" si="58"/>
        <v>人民币</v>
      </c>
      <c r="N117" s="4" t="str">
        <f>"980149593788"</f>
        <v>980149593788</v>
      </c>
      <c r="O117" s="4" t="str">
        <f t="shared" si="60"/>
        <v>300100052893</v>
      </c>
    </row>
    <row r="118" spans="1:15">
      <c r="A118" s="4" t="str">
        <f t="shared" si="103"/>
        <v>20180223</v>
      </c>
      <c r="B118" s="4" t="str">
        <f t="shared" si="104"/>
        <v>20180223</v>
      </c>
      <c r="C118" s="4" t="str">
        <f t="shared" si="100"/>
        <v>证券买入</v>
      </c>
      <c r="D118" s="4" t="str">
        <f>"150182"</f>
        <v>150182</v>
      </c>
      <c r="E118" s="4" t="str">
        <f>"军工B"</f>
        <v>军工B</v>
      </c>
      <c r="F118" s="4">
        <v>0.508</v>
      </c>
      <c r="G118" s="4">
        <v>10000</v>
      </c>
      <c r="H118" s="4">
        <v>5080</v>
      </c>
      <c r="I118" s="4">
        <v>-5085</v>
      </c>
      <c r="J118" s="4">
        <v>-27385.62</v>
      </c>
      <c r="K118" s="4">
        <v>10000</v>
      </c>
      <c r="L118" s="4" t="str">
        <f t="shared" si="58"/>
        <v>人民币</v>
      </c>
      <c r="M118" s="4" t="str">
        <f>"T4001972"</f>
        <v>T4001972</v>
      </c>
      <c r="N118" s="4" t="str">
        <f t="shared" si="99"/>
        <v>0149593788</v>
      </c>
      <c r="O118" s="4" t="str">
        <f t="shared" si="60"/>
        <v>300100052893</v>
      </c>
    </row>
    <row r="119" spans="1:15">
      <c r="A119" s="4" t="str">
        <f t="shared" si="103"/>
        <v>20180223</v>
      </c>
      <c r="B119" s="4" t="str">
        <f t="shared" si="104"/>
        <v>20180223</v>
      </c>
      <c r="C119" s="4" t="str">
        <f t="shared" si="98"/>
        <v>证券卖出</v>
      </c>
      <c r="D119" s="4" t="str">
        <f t="shared" si="101"/>
        <v>000768</v>
      </c>
      <c r="E119" s="4" t="str">
        <f t="shared" si="102"/>
        <v>中航飞机</v>
      </c>
      <c r="F119" s="4">
        <v>13.71</v>
      </c>
      <c r="G119" s="4">
        <v>1000</v>
      </c>
      <c r="H119" s="4">
        <v>13710</v>
      </c>
      <c r="I119" s="4">
        <v>13691.29</v>
      </c>
      <c r="J119" s="4">
        <v>-13694.33</v>
      </c>
      <c r="K119" s="4">
        <v>2000</v>
      </c>
      <c r="L119" s="4" t="str">
        <f t="shared" si="58"/>
        <v>人民币</v>
      </c>
      <c r="M119" s="4" t="str">
        <f>"T4002310"</f>
        <v>T4002310</v>
      </c>
      <c r="N119" s="4" t="str">
        <f t="shared" si="99"/>
        <v>0149593788</v>
      </c>
      <c r="O119" s="4" t="str">
        <f t="shared" si="60"/>
        <v>300100052893</v>
      </c>
    </row>
    <row r="120" spans="1:15">
      <c r="A120" s="4" t="str">
        <f t="shared" si="103"/>
        <v>20180223</v>
      </c>
      <c r="B120" s="4" t="str">
        <f t="shared" si="104"/>
        <v>20180223</v>
      </c>
      <c r="C120" s="4" t="str">
        <f t="shared" si="98"/>
        <v>证券卖出</v>
      </c>
      <c r="D120" s="4" t="str">
        <f>"600886"</f>
        <v>600886</v>
      </c>
      <c r="E120" s="4" t="str">
        <f>"国投电力"</f>
        <v>国投电力</v>
      </c>
      <c r="F120" s="4">
        <v>6.83</v>
      </c>
      <c r="G120" s="4">
        <v>2000</v>
      </c>
      <c r="H120" s="4">
        <v>13660</v>
      </c>
      <c r="I120" s="4">
        <v>13641.07</v>
      </c>
      <c r="J120" s="4">
        <v>-53.26</v>
      </c>
      <c r="K120" s="4">
        <v>0</v>
      </c>
      <c r="L120" s="4" t="str">
        <f t="shared" si="58"/>
        <v>人民币</v>
      </c>
      <c r="M120" s="4" t="str">
        <f>"0136001875"</f>
        <v>0136001875</v>
      </c>
      <c r="N120" s="4" t="str">
        <f>"A368402599"</f>
        <v>A368402599</v>
      </c>
      <c r="O120" s="4" t="str">
        <f t="shared" si="60"/>
        <v>300100052893</v>
      </c>
    </row>
    <row r="121" spans="1:15">
      <c r="A121" s="4" t="str">
        <f t="shared" si="103"/>
        <v>20180223</v>
      </c>
      <c r="B121" s="4" t="str">
        <f t="shared" si="104"/>
        <v>20180223</v>
      </c>
      <c r="C121" s="4" t="str">
        <f t="shared" si="100"/>
        <v>证券买入</v>
      </c>
      <c r="D121" s="4" t="str">
        <f t="shared" si="101"/>
        <v>000768</v>
      </c>
      <c r="E121" s="4" t="str">
        <f t="shared" si="102"/>
        <v>中航飞机</v>
      </c>
      <c r="F121" s="4">
        <v>13.64</v>
      </c>
      <c r="G121" s="4">
        <v>1000</v>
      </c>
      <c r="H121" s="4">
        <v>13640</v>
      </c>
      <c r="I121" s="4">
        <v>-13645</v>
      </c>
      <c r="J121" s="4">
        <v>-13698.26</v>
      </c>
      <c r="K121" s="4">
        <v>3000</v>
      </c>
      <c r="L121" s="4" t="str">
        <f t="shared" si="58"/>
        <v>人民币</v>
      </c>
      <c r="M121" s="4" t="str">
        <f>"T4002920"</f>
        <v>T4002920</v>
      </c>
      <c r="N121" s="4" t="str">
        <f t="shared" ref="N121:N123" si="105">"0149593788"</f>
        <v>0149593788</v>
      </c>
      <c r="O121" s="4" t="str">
        <f t="shared" si="60"/>
        <v>300100052893</v>
      </c>
    </row>
    <row r="122" spans="1:15">
      <c r="A122" s="4" t="str">
        <f t="shared" si="103"/>
        <v>20180223</v>
      </c>
      <c r="B122" s="4" t="str">
        <f t="shared" si="104"/>
        <v>20180223</v>
      </c>
      <c r="C122" s="4" t="str">
        <f>"证券卖出"</f>
        <v>证券卖出</v>
      </c>
      <c r="D122" s="4" t="str">
        <f t="shared" si="101"/>
        <v>000768</v>
      </c>
      <c r="E122" s="4" t="str">
        <f t="shared" si="102"/>
        <v>中航飞机</v>
      </c>
      <c r="F122" s="4">
        <v>13.64</v>
      </c>
      <c r="G122" s="4">
        <v>2000</v>
      </c>
      <c r="H122" s="4">
        <v>27280</v>
      </c>
      <c r="I122" s="4">
        <v>27244.27</v>
      </c>
      <c r="J122" s="4">
        <v>13546.01</v>
      </c>
      <c r="K122" s="4">
        <v>1000</v>
      </c>
      <c r="L122" s="4" t="str">
        <f t="shared" si="58"/>
        <v>人民币</v>
      </c>
      <c r="M122" s="4" t="str">
        <f>"T4002984"</f>
        <v>T4002984</v>
      </c>
      <c r="N122" s="4" t="str">
        <f t="shared" si="105"/>
        <v>0149593788</v>
      </c>
      <c r="O122" s="4" t="str">
        <f t="shared" si="60"/>
        <v>300100052893</v>
      </c>
    </row>
    <row r="123" spans="1:15">
      <c r="A123" s="4" t="str">
        <f t="shared" si="103"/>
        <v>20180223</v>
      </c>
      <c r="B123" s="4" t="str">
        <f t="shared" si="104"/>
        <v>20180223</v>
      </c>
      <c r="C123" s="4" t="str">
        <f>"证券买入"</f>
        <v>证券买入</v>
      </c>
      <c r="D123" s="4" t="str">
        <f t="shared" si="101"/>
        <v>000768</v>
      </c>
      <c r="E123" s="4" t="str">
        <f t="shared" si="102"/>
        <v>中航飞机</v>
      </c>
      <c r="F123" s="4">
        <v>13.54</v>
      </c>
      <c r="G123" s="4">
        <v>1000</v>
      </c>
      <c r="H123" s="4">
        <v>13540</v>
      </c>
      <c r="I123" s="4">
        <v>-13545</v>
      </c>
      <c r="J123" s="4">
        <v>1.01</v>
      </c>
      <c r="K123" s="4">
        <v>2000</v>
      </c>
      <c r="L123" s="4" t="str">
        <f t="shared" si="58"/>
        <v>人民币</v>
      </c>
      <c r="M123" s="4" t="str">
        <f>"T4004167"</f>
        <v>T4004167</v>
      </c>
      <c r="N123" s="4" t="str">
        <f t="shared" si="105"/>
        <v>0149593788</v>
      </c>
      <c r="O123" s="4" t="str">
        <f t="shared" si="60"/>
        <v>300100052893</v>
      </c>
    </row>
    <row r="124" spans="1:15">
      <c r="A124" s="4" t="str">
        <f t="shared" ref="A124:A126" si="106">"20180226"</f>
        <v>20180226</v>
      </c>
      <c r="B124" s="4" t="str">
        <f t="shared" ref="B124:B126" si="107">"20180226"</f>
        <v>20180226</v>
      </c>
      <c r="C124" s="4" t="str">
        <f>"基金赎回拨入"</f>
        <v>基金赎回拨入</v>
      </c>
      <c r="D124" s="4" t="str">
        <f>"AA0007"</f>
        <v>AA0007</v>
      </c>
      <c r="E124" s="4" t="str">
        <f>"银河水星1号集合"</f>
        <v>银河水星1号集合</v>
      </c>
      <c r="F124" s="4">
        <v>0</v>
      </c>
      <c r="G124" s="4">
        <v>6299</v>
      </c>
      <c r="H124" s="4">
        <v>0</v>
      </c>
      <c r="I124" s="4">
        <v>6299.99</v>
      </c>
      <c r="J124" s="4">
        <v>6301</v>
      </c>
      <c r="K124" s="4">
        <v>0</v>
      </c>
      <c r="L124" s="4" t="str">
        <f t="shared" si="58"/>
        <v>人民币</v>
      </c>
      <c r="N124" s="4" t="str">
        <f>"980149593788"</f>
        <v>980149593788</v>
      </c>
      <c r="O124" s="4" t="str">
        <f t="shared" si="60"/>
        <v>300100052893</v>
      </c>
    </row>
    <row r="125" spans="1:15">
      <c r="A125" s="4" t="str">
        <f t="shared" si="106"/>
        <v>20180226</v>
      </c>
      <c r="B125" s="4" t="str">
        <f t="shared" si="107"/>
        <v>20180226</v>
      </c>
      <c r="C125" s="4" t="str">
        <f>"证券卖出"</f>
        <v>证券卖出</v>
      </c>
      <c r="D125" s="4" t="str">
        <f>"150182"</f>
        <v>150182</v>
      </c>
      <c r="E125" s="4" t="str">
        <f>"军工B"</f>
        <v>军工B</v>
      </c>
      <c r="F125" s="4">
        <v>0.545</v>
      </c>
      <c r="G125" s="4">
        <v>10000</v>
      </c>
      <c r="H125" s="4">
        <v>5450</v>
      </c>
      <c r="I125" s="4">
        <v>5445</v>
      </c>
      <c r="J125" s="4">
        <v>11746</v>
      </c>
      <c r="K125" s="4">
        <v>0</v>
      </c>
      <c r="L125" s="4" t="str">
        <f t="shared" si="58"/>
        <v>人民币</v>
      </c>
      <c r="M125" s="4" t="str">
        <f>"T4004142"</f>
        <v>T4004142</v>
      </c>
      <c r="N125" s="4" t="str">
        <f t="shared" ref="N125:N136" si="108">"0149593788"</f>
        <v>0149593788</v>
      </c>
      <c r="O125" s="4" t="str">
        <f t="shared" si="60"/>
        <v>300100052893</v>
      </c>
    </row>
    <row r="126" spans="1:15">
      <c r="A126" s="4" t="str">
        <f t="shared" si="106"/>
        <v>20180226</v>
      </c>
      <c r="B126" s="4" t="str">
        <f t="shared" si="107"/>
        <v>20180226</v>
      </c>
      <c r="C126" s="4" t="str">
        <f t="shared" ref="C126:C130" si="109">"证券买入"</f>
        <v>证券买入</v>
      </c>
      <c r="D126" s="4" t="str">
        <f>"002015"</f>
        <v>002015</v>
      </c>
      <c r="E126" s="4" t="str">
        <f>"霞客环保"</f>
        <v>霞客环保</v>
      </c>
      <c r="F126" s="4">
        <v>5.87</v>
      </c>
      <c r="G126" s="4">
        <v>2000</v>
      </c>
      <c r="H126" s="4">
        <v>11740</v>
      </c>
      <c r="I126" s="4">
        <v>-11745</v>
      </c>
      <c r="J126" s="4">
        <v>1</v>
      </c>
      <c r="K126" s="4">
        <v>2000</v>
      </c>
      <c r="L126" s="4" t="str">
        <f t="shared" si="58"/>
        <v>人民币</v>
      </c>
      <c r="M126" s="4" t="str">
        <f>"T4004616"</f>
        <v>T4004616</v>
      </c>
      <c r="N126" s="4" t="str">
        <f t="shared" si="108"/>
        <v>0149593788</v>
      </c>
      <c r="O126" s="4" t="str">
        <f t="shared" si="60"/>
        <v>300100052893</v>
      </c>
    </row>
    <row r="127" spans="1:15">
      <c r="A127" s="4" t="str">
        <f t="shared" ref="A127:A136" si="110">"20180227"</f>
        <v>20180227</v>
      </c>
      <c r="B127" s="4" t="str">
        <f t="shared" ref="B127:B136" si="111">"20180227"</f>
        <v>20180227</v>
      </c>
      <c r="C127" s="4" t="str">
        <f>"基金赎回拨入"</f>
        <v>基金赎回拨入</v>
      </c>
      <c r="D127" s="4" t="str">
        <f>"AA0007"</f>
        <v>AA0007</v>
      </c>
      <c r="E127" s="4" t="str">
        <f>"银河水星1号集合"</f>
        <v>银河水星1号集合</v>
      </c>
      <c r="F127" s="4">
        <v>0</v>
      </c>
      <c r="G127" s="4">
        <v>20179</v>
      </c>
      <c r="H127" s="4">
        <v>0</v>
      </c>
      <c r="I127" s="4">
        <v>20179.83</v>
      </c>
      <c r="J127" s="4">
        <v>20180.83</v>
      </c>
      <c r="K127" s="4">
        <v>0</v>
      </c>
      <c r="L127" s="4" t="str">
        <f t="shared" si="58"/>
        <v>人民币</v>
      </c>
      <c r="N127" s="4" t="str">
        <f>"980149593788"</f>
        <v>980149593788</v>
      </c>
      <c r="O127" s="4" t="str">
        <f t="shared" si="60"/>
        <v>300100052893</v>
      </c>
    </row>
    <row r="128" spans="1:15">
      <c r="A128" s="4" t="str">
        <f t="shared" si="110"/>
        <v>20180227</v>
      </c>
      <c r="B128" s="4" t="str">
        <f t="shared" si="111"/>
        <v>20180227</v>
      </c>
      <c r="C128" s="4" t="str">
        <f>"证券卖出"</f>
        <v>证券卖出</v>
      </c>
      <c r="D128" s="4" t="str">
        <f>"150153"</f>
        <v>150153</v>
      </c>
      <c r="E128" s="4" t="str">
        <f>"创业板B"</f>
        <v>创业板B</v>
      </c>
      <c r="F128" s="4">
        <v>0.529</v>
      </c>
      <c r="G128" s="4">
        <v>20000</v>
      </c>
      <c r="H128" s="4">
        <v>10580</v>
      </c>
      <c r="I128" s="4">
        <v>10575</v>
      </c>
      <c r="J128" s="4">
        <v>30755.83</v>
      </c>
      <c r="K128" s="4">
        <v>20000</v>
      </c>
      <c r="L128" s="4" t="str">
        <f t="shared" si="58"/>
        <v>人民币</v>
      </c>
      <c r="M128" s="4" t="str">
        <f>"T4001511"</f>
        <v>T4001511</v>
      </c>
      <c r="N128" s="4" t="str">
        <f t="shared" si="108"/>
        <v>0149593788</v>
      </c>
      <c r="O128" s="4" t="str">
        <f t="shared" si="60"/>
        <v>300100052893</v>
      </c>
    </row>
    <row r="129" spans="1:15">
      <c r="A129" s="4" t="str">
        <f t="shared" si="110"/>
        <v>20180227</v>
      </c>
      <c r="B129" s="4" t="str">
        <f t="shared" si="111"/>
        <v>20180227</v>
      </c>
      <c r="C129" s="4" t="str">
        <f t="shared" si="109"/>
        <v>证券买入</v>
      </c>
      <c r="D129" s="4" t="str">
        <f t="shared" ref="D129:D133" si="112">"150182"</f>
        <v>150182</v>
      </c>
      <c r="E129" s="4" t="str">
        <f t="shared" ref="E129:E133" si="113">"军工B"</f>
        <v>军工B</v>
      </c>
      <c r="F129" s="4">
        <v>0.557</v>
      </c>
      <c r="G129" s="4">
        <v>20000</v>
      </c>
      <c r="H129" s="4">
        <v>11130.2</v>
      </c>
      <c r="I129" s="4">
        <v>-11135.2</v>
      </c>
      <c r="J129" s="4">
        <v>19620.63</v>
      </c>
      <c r="K129" s="4">
        <v>20000</v>
      </c>
      <c r="L129" s="4" t="str">
        <f t="shared" si="58"/>
        <v>人民币</v>
      </c>
      <c r="M129" s="4" t="str">
        <f>"T4002449"</f>
        <v>T4002449</v>
      </c>
      <c r="N129" s="4" t="str">
        <f t="shared" si="108"/>
        <v>0149593788</v>
      </c>
      <c r="O129" s="4" t="str">
        <f t="shared" si="60"/>
        <v>300100052893</v>
      </c>
    </row>
    <row r="130" spans="1:15">
      <c r="A130" s="4" t="str">
        <f t="shared" si="110"/>
        <v>20180227</v>
      </c>
      <c r="B130" s="4" t="str">
        <f t="shared" si="111"/>
        <v>20180227</v>
      </c>
      <c r="C130" s="4" t="str">
        <f t="shared" si="109"/>
        <v>证券买入</v>
      </c>
      <c r="D130" s="4" t="str">
        <f>"150153"</f>
        <v>150153</v>
      </c>
      <c r="E130" s="4" t="str">
        <f>"创业板B"</f>
        <v>创业板B</v>
      </c>
      <c r="F130" s="4">
        <v>0.538</v>
      </c>
      <c r="G130" s="4">
        <v>20000</v>
      </c>
      <c r="H130" s="4">
        <v>10760</v>
      </c>
      <c r="I130" s="4">
        <v>-10765</v>
      </c>
      <c r="J130" s="4">
        <v>8855.63</v>
      </c>
      <c r="K130" s="4">
        <v>40000</v>
      </c>
      <c r="L130" s="4" t="str">
        <f t="shared" ref="L130:L183" si="114">"人民币"</f>
        <v>人民币</v>
      </c>
      <c r="M130" s="4" t="str">
        <f>"T4003038"</f>
        <v>T4003038</v>
      </c>
      <c r="N130" s="4" t="str">
        <f t="shared" si="108"/>
        <v>0149593788</v>
      </c>
      <c r="O130" s="4" t="str">
        <f t="shared" ref="O130:O183" si="115">"300100052893"</f>
        <v>300100052893</v>
      </c>
    </row>
    <row r="131" spans="1:15">
      <c r="A131" s="4" t="str">
        <f t="shared" si="110"/>
        <v>20180227</v>
      </c>
      <c r="B131" s="4" t="str">
        <f t="shared" si="111"/>
        <v>20180227</v>
      </c>
      <c r="C131" s="4" t="str">
        <f>"证券卖出"</f>
        <v>证券卖出</v>
      </c>
      <c r="D131" s="4" t="str">
        <f>"002015"</f>
        <v>002015</v>
      </c>
      <c r="E131" s="4" t="str">
        <f>"霞客环保"</f>
        <v>霞客环保</v>
      </c>
      <c r="F131" s="4">
        <v>5.82</v>
      </c>
      <c r="G131" s="4">
        <v>2000</v>
      </c>
      <c r="H131" s="4">
        <v>11640</v>
      </c>
      <c r="I131" s="4">
        <v>11623.38</v>
      </c>
      <c r="J131" s="4">
        <v>20479.01</v>
      </c>
      <c r="K131" s="4">
        <v>0</v>
      </c>
      <c r="L131" s="4" t="str">
        <f t="shared" si="114"/>
        <v>人民币</v>
      </c>
      <c r="M131" s="4" t="str">
        <f>"T4003118"</f>
        <v>T4003118</v>
      </c>
      <c r="N131" s="4" t="str">
        <f t="shared" si="108"/>
        <v>0149593788</v>
      </c>
      <c r="O131" s="4" t="str">
        <f t="shared" si="115"/>
        <v>300100052893</v>
      </c>
    </row>
    <row r="132" spans="1:15">
      <c r="A132" s="4" t="str">
        <f t="shared" si="110"/>
        <v>20180227</v>
      </c>
      <c r="B132" s="4" t="str">
        <f t="shared" si="111"/>
        <v>20180227</v>
      </c>
      <c r="C132" s="4" t="str">
        <f t="shared" ref="C132:C136" si="116">"证券买入"</f>
        <v>证券买入</v>
      </c>
      <c r="D132" s="4" t="str">
        <f t="shared" si="112"/>
        <v>150182</v>
      </c>
      <c r="E132" s="4" t="str">
        <f t="shared" si="113"/>
        <v>军工B</v>
      </c>
      <c r="F132" s="4">
        <v>0.563</v>
      </c>
      <c r="G132" s="4">
        <v>16200</v>
      </c>
      <c r="H132" s="4">
        <v>9120.6</v>
      </c>
      <c r="I132" s="4">
        <v>-9125.6</v>
      </c>
      <c r="J132" s="4">
        <v>11353.41</v>
      </c>
      <c r="K132" s="4">
        <v>36200</v>
      </c>
      <c r="L132" s="4" t="str">
        <f t="shared" si="114"/>
        <v>人民币</v>
      </c>
      <c r="M132" s="4" t="str">
        <f>"T4003410"</f>
        <v>T4003410</v>
      </c>
      <c r="N132" s="4" t="str">
        <f t="shared" si="108"/>
        <v>0149593788</v>
      </c>
      <c r="O132" s="4" t="str">
        <f t="shared" si="115"/>
        <v>300100052893</v>
      </c>
    </row>
    <row r="133" spans="1:15">
      <c r="A133" s="4" t="str">
        <f t="shared" si="110"/>
        <v>20180227</v>
      </c>
      <c r="B133" s="4" t="str">
        <f t="shared" si="111"/>
        <v>20180227</v>
      </c>
      <c r="C133" s="4" t="str">
        <f t="shared" si="116"/>
        <v>证券买入</v>
      </c>
      <c r="D133" s="4" t="str">
        <f t="shared" si="112"/>
        <v>150182</v>
      </c>
      <c r="E133" s="4" t="str">
        <f t="shared" si="113"/>
        <v>军工B</v>
      </c>
      <c r="F133" s="4">
        <v>0.576</v>
      </c>
      <c r="G133" s="4">
        <v>20000</v>
      </c>
      <c r="H133" s="4">
        <v>11520</v>
      </c>
      <c r="I133" s="4">
        <v>-11525</v>
      </c>
      <c r="J133" s="4">
        <v>-171.59</v>
      </c>
      <c r="K133" s="4">
        <v>56200</v>
      </c>
      <c r="L133" s="4" t="str">
        <f t="shared" si="114"/>
        <v>人民币</v>
      </c>
      <c r="M133" s="4" t="str">
        <f>"T4003653"</f>
        <v>T4003653</v>
      </c>
      <c r="N133" s="4" t="str">
        <f t="shared" si="108"/>
        <v>0149593788</v>
      </c>
      <c r="O133" s="4" t="str">
        <f t="shared" si="115"/>
        <v>300100052893</v>
      </c>
    </row>
    <row r="134" spans="1:15">
      <c r="A134" s="4" t="str">
        <f t="shared" si="110"/>
        <v>20180227</v>
      </c>
      <c r="B134" s="4" t="str">
        <f t="shared" si="111"/>
        <v>20180227</v>
      </c>
      <c r="C134" s="4" t="str">
        <f t="shared" ref="C134:C139" si="117">"证券卖出"</f>
        <v>证券卖出</v>
      </c>
      <c r="D134" s="4" t="str">
        <f>"000768"</f>
        <v>000768</v>
      </c>
      <c r="E134" s="4" t="str">
        <f>"中航飞机"</f>
        <v>中航飞机</v>
      </c>
      <c r="F134" s="4">
        <v>14.5</v>
      </c>
      <c r="G134" s="4">
        <v>2000</v>
      </c>
      <c r="H134" s="4">
        <v>29000</v>
      </c>
      <c r="I134" s="4">
        <v>28962.01</v>
      </c>
      <c r="J134" s="4">
        <v>28790.42</v>
      </c>
      <c r="K134" s="4">
        <v>0</v>
      </c>
      <c r="L134" s="4" t="str">
        <f t="shared" si="114"/>
        <v>人民币</v>
      </c>
      <c r="M134" s="4" t="str">
        <f>"T4003765"</f>
        <v>T4003765</v>
      </c>
      <c r="N134" s="4" t="str">
        <f t="shared" si="108"/>
        <v>0149593788</v>
      </c>
      <c r="O134" s="4" t="str">
        <f t="shared" si="115"/>
        <v>300100052893</v>
      </c>
    </row>
    <row r="135" spans="1:15">
      <c r="A135" s="4" t="str">
        <f t="shared" si="110"/>
        <v>20180227</v>
      </c>
      <c r="B135" s="4" t="str">
        <f t="shared" si="111"/>
        <v>20180227</v>
      </c>
      <c r="C135" s="4" t="str">
        <f t="shared" si="116"/>
        <v>证券买入</v>
      </c>
      <c r="D135" s="4" t="str">
        <f>"000768"</f>
        <v>000768</v>
      </c>
      <c r="E135" s="4" t="str">
        <f>"中航飞机"</f>
        <v>中航飞机</v>
      </c>
      <c r="F135" s="4">
        <v>14.82</v>
      </c>
      <c r="G135" s="4">
        <v>1000</v>
      </c>
      <c r="H135" s="4">
        <v>14820</v>
      </c>
      <c r="I135" s="4">
        <v>-14825</v>
      </c>
      <c r="J135" s="4">
        <v>13965.42</v>
      </c>
      <c r="K135" s="4">
        <v>1000</v>
      </c>
      <c r="L135" s="4" t="str">
        <f t="shared" si="114"/>
        <v>人民币</v>
      </c>
      <c r="M135" s="4" t="str">
        <f>"T4004025"</f>
        <v>T4004025</v>
      </c>
      <c r="N135" s="4" t="str">
        <f t="shared" si="108"/>
        <v>0149593788</v>
      </c>
      <c r="O135" s="4" t="str">
        <f t="shared" si="115"/>
        <v>300100052893</v>
      </c>
    </row>
    <row r="136" spans="1:15">
      <c r="A136" s="4" t="str">
        <f t="shared" si="110"/>
        <v>20180227</v>
      </c>
      <c r="B136" s="4" t="str">
        <f t="shared" si="111"/>
        <v>20180227</v>
      </c>
      <c r="C136" s="4" t="str">
        <f t="shared" si="116"/>
        <v>证券买入</v>
      </c>
      <c r="D136" s="4" t="str">
        <f>"002015"</f>
        <v>002015</v>
      </c>
      <c r="E136" s="4" t="str">
        <f>"霞客环保"</f>
        <v>霞客环保</v>
      </c>
      <c r="F136" s="4">
        <v>5.91</v>
      </c>
      <c r="G136" s="4">
        <v>2000</v>
      </c>
      <c r="H136" s="4">
        <v>11820</v>
      </c>
      <c r="I136" s="4">
        <v>-11825</v>
      </c>
      <c r="J136" s="4">
        <v>2140.42</v>
      </c>
      <c r="K136" s="4">
        <v>2000</v>
      </c>
      <c r="L136" s="4" t="str">
        <f t="shared" si="114"/>
        <v>人民币</v>
      </c>
      <c r="M136" s="4" t="str">
        <f>"T4006773"</f>
        <v>T4006773</v>
      </c>
      <c r="N136" s="4" t="str">
        <f t="shared" si="108"/>
        <v>0149593788</v>
      </c>
      <c r="O136" s="4" t="str">
        <f t="shared" si="115"/>
        <v>300100052893</v>
      </c>
    </row>
    <row r="137" spans="1:15">
      <c r="A137" s="4" t="str">
        <f t="shared" ref="A137:A147" si="118">"20180228"</f>
        <v>20180228</v>
      </c>
      <c r="B137" s="4" t="str">
        <f t="shared" ref="B137:B147" si="119">"20180228"</f>
        <v>20180228</v>
      </c>
      <c r="C137" s="4" t="str">
        <f>"基金申购拨出"</f>
        <v>基金申购拨出</v>
      </c>
      <c r="D137" s="4" t="str">
        <f>"AA0007"</f>
        <v>AA0007</v>
      </c>
      <c r="E137" s="4" t="str">
        <f>"银河水星1号集合"</f>
        <v>银河水星1号集合</v>
      </c>
      <c r="F137" s="4">
        <v>0</v>
      </c>
      <c r="G137" s="4">
        <v>0</v>
      </c>
      <c r="H137" s="4">
        <v>0</v>
      </c>
      <c r="I137" s="4">
        <v>-31473.21</v>
      </c>
      <c r="J137" s="4">
        <v>-29332.79</v>
      </c>
      <c r="K137" s="4">
        <v>0</v>
      </c>
      <c r="L137" s="4" t="str">
        <f t="shared" si="114"/>
        <v>人民币</v>
      </c>
      <c r="N137" s="4" t="str">
        <f>"980149593788"</f>
        <v>980149593788</v>
      </c>
      <c r="O137" s="4" t="str">
        <f t="shared" si="115"/>
        <v>300100052893</v>
      </c>
    </row>
    <row r="138" spans="1:15">
      <c r="A138" s="4" t="str">
        <f t="shared" si="118"/>
        <v>20180228</v>
      </c>
      <c r="B138" s="4" t="str">
        <f t="shared" si="119"/>
        <v>20180228</v>
      </c>
      <c r="C138" s="4" t="str">
        <f t="shared" si="117"/>
        <v>证券卖出</v>
      </c>
      <c r="D138" s="4" t="str">
        <f>"150182"</f>
        <v>150182</v>
      </c>
      <c r="E138" s="4" t="str">
        <f>"军工B"</f>
        <v>军工B</v>
      </c>
      <c r="F138" s="4">
        <v>0.57</v>
      </c>
      <c r="G138" s="4">
        <v>26200</v>
      </c>
      <c r="H138" s="4">
        <v>14934</v>
      </c>
      <c r="I138" s="4">
        <v>14929</v>
      </c>
      <c r="J138" s="4">
        <v>-14403.79</v>
      </c>
      <c r="K138" s="4">
        <v>30000</v>
      </c>
      <c r="L138" s="4" t="str">
        <f t="shared" si="114"/>
        <v>人民币</v>
      </c>
      <c r="M138" s="4" t="str">
        <f>"T4000470"</f>
        <v>T4000470</v>
      </c>
      <c r="N138" s="4" t="str">
        <f t="shared" ref="N138:N147" si="120">"0149593788"</f>
        <v>0149593788</v>
      </c>
      <c r="O138" s="4" t="str">
        <f t="shared" si="115"/>
        <v>300100052893</v>
      </c>
    </row>
    <row r="139" spans="1:15">
      <c r="A139" s="4" t="str">
        <f t="shared" si="118"/>
        <v>20180228</v>
      </c>
      <c r="B139" s="4" t="str">
        <f t="shared" si="119"/>
        <v>20180228</v>
      </c>
      <c r="C139" s="4" t="str">
        <f t="shared" si="117"/>
        <v>证券卖出</v>
      </c>
      <c r="D139" s="4" t="str">
        <f t="shared" ref="D139:D142" si="121">"150153"</f>
        <v>150153</v>
      </c>
      <c r="E139" s="4" t="str">
        <f t="shared" ref="E139:E142" si="122">"创业板B"</f>
        <v>创业板B</v>
      </c>
      <c r="F139" s="4">
        <v>0.52</v>
      </c>
      <c r="G139" s="4">
        <v>20000</v>
      </c>
      <c r="H139" s="4">
        <v>10400</v>
      </c>
      <c r="I139" s="4">
        <v>10395</v>
      </c>
      <c r="J139" s="4">
        <v>-4008.79</v>
      </c>
      <c r="K139" s="4">
        <v>20000</v>
      </c>
      <c r="L139" s="4" t="str">
        <f t="shared" si="114"/>
        <v>人民币</v>
      </c>
      <c r="M139" s="4" t="str">
        <f>"T4000814"</f>
        <v>T4000814</v>
      </c>
      <c r="N139" s="4" t="str">
        <f t="shared" si="120"/>
        <v>0149593788</v>
      </c>
      <c r="O139" s="4" t="str">
        <f t="shared" si="115"/>
        <v>300100052893</v>
      </c>
    </row>
    <row r="140" spans="1:15">
      <c r="A140" s="4" t="str">
        <f t="shared" si="118"/>
        <v>20180228</v>
      </c>
      <c r="B140" s="4" t="str">
        <f t="shared" si="119"/>
        <v>20180228</v>
      </c>
      <c r="C140" s="4" t="str">
        <f t="shared" ref="C140:C142" si="123">"证券买入"</f>
        <v>证券买入</v>
      </c>
      <c r="D140" s="4" t="str">
        <f t="shared" si="121"/>
        <v>150153</v>
      </c>
      <c r="E140" s="4" t="str">
        <f t="shared" si="122"/>
        <v>创业板B</v>
      </c>
      <c r="F140" s="4">
        <v>0.527</v>
      </c>
      <c r="G140" s="4">
        <v>20000</v>
      </c>
      <c r="H140" s="4">
        <v>10540</v>
      </c>
      <c r="I140" s="4">
        <v>-10545</v>
      </c>
      <c r="J140" s="4">
        <v>-14553.79</v>
      </c>
      <c r="K140" s="4">
        <v>40000</v>
      </c>
      <c r="L140" s="4" t="str">
        <f t="shared" si="114"/>
        <v>人民币</v>
      </c>
      <c r="M140" s="4" t="str">
        <f>"T4001318"</f>
        <v>T4001318</v>
      </c>
      <c r="N140" s="4" t="str">
        <f t="shared" si="120"/>
        <v>0149593788</v>
      </c>
      <c r="O140" s="4" t="str">
        <f t="shared" si="115"/>
        <v>300100052893</v>
      </c>
    </row>
    <row r="141" spans="1:15">
      <c r="A141" s="4" t="str">
        <f t="shared" si="118"/>
        <v>20180228</v>
      </c>
      <c r="B141" s="4" t="str">
        <f t="shared" si="119"/>
        <v>20180228</v>
      </c>
      <c r="C141" s="4" t="str">
        <f t="shared" si="123"/>
        <v>证券买入</v>
      </c>
      <c r="D141" s="4" t="str">
        <f t="shared" si="121"/>
        <v>150153</v>
      </c>
      <c r="E141" s="4" t="str">
        <f t="shared" si="122"/>
        <v>创业板B</v>
      </c>
      <c r="F141" s="4">
        <v>0.554</v>
      </c>
      <c r="G141" s="4">
        <v>20000</v>
      </c>
      <c r="H141" s="4">
        <v>11080</v>
      </c>
      <c r="I141" s="4">
        <v>-11085</v>
      </c>
      <c r="J141" s="4">
        <v>-25638.79</v>
      </c>
      <c r="K141" s="4">
        <v>60000</v>
      </c>
      <c r="L141" s="4" t="str">
        <f t="shared" si="114"/>
        <v>人民币</v>
      </c>
      <c r="M141" s="4" t="str">
        <f>"T4003863"</f>
        <v>T4003863</v>
      </c>
      <c r="N141" s="4" t="str">
        <f t="shared" si="120"/>
        <v>0149593788</v>
      </c>
      <c r="O141" s="4" t="str">
        <f t="shared" si="115"/>
        <v>300100052893</v>
      </c>
    </row>
    <row r="142" spans="1:15">
      <c r="A142" s="4" t="str">
        <f t="shared" si="118"/>
        <v>20180228</v>
      </c>
      <c r="B142" s="4" t="str">
        <f t="shared" si="119"/>
        <v>20180228</v>
      </c>
      <c r="C142" s="4" t="str">
        <f t="shared" si="123"/>
        <v>证券买入</v>
      </c>
      <c r="D142" s="4" t="str">
        <f t="shared" si="121"/>
        <v>150153</v>
      </c>
      <c r="E142" s="4" t="str">
        <f t="shared" si="122"/>
        <v>创业板B</v>
      </c>
      <c r="F142" s="4">
        <v>0.557</v>
      </c>
      <c r="G142" s="4">
        <v>20000</v>
      </c>
      <c r="H142" s="4">
        <v>11140</v>
      </c>
      <c r="I142" s="4">
        <v>-11145</v>
      </c>
      <c r="J142" s="4">
        <v>-36783.79</v>
      </c>
      <c r="K142" s="4">
        <v>80000</v>
      </c>
      <c r="L142" s="4" t="str">
        <f t="shared" si="114"/>
        <v>人民币</v>
      </c>
      <c r="M142" s="4" t="str">
        <f>"T4003873"</f>
        <v>T4003873</v>
      </c>
      <c r="N142" s="4" t="str">
        <f t="shared" si="120"/>
        <v>0149593788</v>
      </c>
      <c r="O142" s="4" t="str">
        <f t="shared" si="115"/>
        <v>300100052893</v>
      </c>
    </row>
    <row r="143" spans="1:15">
      <c r="A143" s="4" t="str">
        <f t="shared" si="118"/>
        <v>20180228</v>
      </c>
      <c r="B143" s="4" t="str">
        <f t="shared" si="119"/>
        <v>20180228</v>
      </c>
      <c r="C143" s="4" t="str">
        <f t="shared" ref="C143:C146" si="124">"证券卖出"</f>
        <v>证券卖出</v>
      </c>
      <c r="D143" s="4" t="str">
        <f>"150182"</f>
        <v>150182</v>
      </c>
      <c r="E143" s="4" t="str">
        <f>"军工B"</f>
        <v>军工B</v>
      </c>
      <c r="F143" s="4">
        <v>0.612</v>
      </c>
      <c r="G143" s="4">
        <v>10000</v>
      </c>
      <c r="H143" s="4">
        <v>6120</v>
      </c>
      <c r="I143" s="4">
        <v>6115</v>
      </c>
      <c r="J143" s="4">
        <v>-30668.79</v>
      </c>
      <c r="K143" s="4">
        <v>20000</v>
      </c>
      <c r="L143" s="4" t="str">
        <f t="shared" si="114"/>
        <v>人民币</v>
      </c>
      <c r="M143" s="4" t="str">
        <f>"T4003932"</f>
        <v>T4003932</v>
      </c>
      <c r="N143" s="4" t="str">
        <f t="shared" si="120"/>
        <v>0149593788</v>
      </c>
      <c r="O143" s="4" t="str">
        <f t="shared" si="115"/>
        <v>300100052893</v>
      </c>
    </row>
    <row r="144" spans="1:15">
      <c r="A144" s="4" t="str">
        <f t="shared" si="118"/>
        <v>20180228</v>
      </c>
      <c r="B144" s="4" t="str">
        <f t="shared" si="119"/>
        <v>20180228</v>
      </c>
      <c r="C144" s="4" t="str">
        <f t="shared" si="124"/>
        <v>证券卖出</v>
      </c>
      <c r="D144" s="4" t="str">
        <f>"000768"</f>
        <v>000768</v>
      </c>
      <c r="E144" s="4" t="str">
        <f>"中航飞机"</f>
        <v>中航飞机</v>
      </c>
      <c r="F144" s="4">
        <v>15.21</v>
      </c>
      <c r="G144" s="4">
        <v>1000</v>
      </c>
      <c r="H144" s="4">
        <v>15210</v>
      </c>
      <c r="I144" s="4">
        <v>15189.79</v>
      </c>
      <c r="J144" s="4">
        <v>-15479</v>
      </c>
      <c r="K144" s="4">
        <v>0</v>
      </c>
      <c r="L144" s="4" t="str">
        <f t="shared" si="114"/>
        <v>人民币</v>
      </c>
      <c r="M144" s="4" t="str">
        <f>"T4003981"</f>
        <v>T4003981</v>
      </c>
      <c r="N144" s="4" t="str">
        <f t="shared" si="120"/>
        <v>0149593788</v>
      </c>
      <c r="O144" s="4" t="str">
        <f t="shared" si="115"/>
        <v>300100052893</v>
      </c>
    </row>
    <row r="145" spans="1:15">
      <c r="A145" s="4" t="str">
        <f t="shared" si="118"/>
        <v>20180228</v>
      </c>
      <c r="B145" s="4" t="str">
        <f t="shared" si="119"/>
        <v>20180228</v>
      </c>
      <c r="C145" s="4" t="str">
        <f t="shared" si="124"/>
        <v>证券卖出</v>
      </c>
      <c r="D145" s="4" t="str">
        <f>"150182"</f>
        <v>150182</v>
      </c>
      <c r="E145" s="4" t="str">
        <f>"军工B"</f>
        <v>军工B</v>
      </c>
      <c r="F145" s="4">
        <v>0.605</v>
      </c>
      <c r="G145" s="4">
        <v>20000</v>
      </c>
      <c r="H145" s="4">
        <v>12100</v>
      </c>
      <c r="I145" s="4">
        <v>12095</v>
      </c>
      <c r="J145" s="4">
        <v>-3384</v>
      </c>
      <c r="K145" s="4">
        <v>0</v>
      </c>
      <c r="L145" s="4" t="str">
        <f t="shared" si="114"/>
        <v>人民币</v>
      </c>
      <c r="M145" s="4" t="str">
        <f>"T4004143"</f>
        <v>T4004143</v>
      </c>
      <c r="N145" s="4" t="str">
        <f t="shared" si="120"/>
        <v>0149593788</v>
      </c>
      <c r="O145" s="4" t="str">
        <f t="shared" si="115"/>
        <v>300100052893</v>
      </c>
    </row>
    <row r="146" spans="1:15">
      <c r="A146" s="4" t="str">
        <f t="shared" si="118"/>
        <v>20180228</v>
      </c>
      <c r="B146" s="4" t="str">
        <f t="shared" si="119"/>
        <v>20180228</v>
      </c>
      <c r="C146" s="4" t="str">
        <f t="shared" si="124"/>
        <v>证券卖出</v>
      </c>
      <c r="D146" s="4" t="str">
        <f t="shared" ref="D146:D151" si="125">"150153"</f>
        <v>150153</v>
      </c>
      <c r="E146" s="4" t="str">
        <f t="shared" ref="E146:E151" si="126">"创业板B"</f>
        <v>创业板B</v>
      </c>
      <c r="F146" s="4">
        <v>0.547</v>
      </c>
      <c r="G146" s="4">
        <v>20000</v>
      </c>
      <c r="H146" s="4">
        <v>10940</v>
      </c>
      <c r="I146" s="4">
        <v>10935</v>
      </c>
      <c r="J146" s="4">
        <v>7551</v>
      </c>
      <c r="K146" s="4">
        <v>60000</v>
      </c>
      <c r="L146" s="4" t="str">
        <f t="shared" si="114"/>
        <v>人民币</v>
      </c>
      <c r="M146" s="4" t="str">
        <f>"T4004257"</f>
        <v>T4004257</v>
      </c>
      <c r="N146" s="4" t="str">
        <f t="shared" si="120"/>
        <v>0149593788</v>
      </c>
      <c r="O146" s="4" t="str">
        <f t="shared" si="115"/>
        <v>300100052893</v>
      </c>
    </row>
    <row r="147" spans="1:15">
      <c r="A147" s="4" t="str">
        <f t="shared" si="118"/>
        <v>20180228</v>
      </c>
      <c r="B147" s="4" t="str">
        <f t="shared" si="119"/>
        <v>20180228</v>
      </c>
      <c r="C147" s="4" t="str">
        <f t="shared" ref="C147:C150" si="127">"证券买入"</f>
        <v>证券买入</v>
      </c>
      <c r="D147" s="4" t="str">
        <f>"000768"</f>
        <v>000768</v>
      </c>
      <c r="E147" s="4" t="str">
        <f>"中航飞机"</f>
        <v>中航飞机</v>
      </c>
      <c r="F147" s="4">
        <v>15.09</v>
      </c>
      <c r="G147" s="4">
        <v>500</v>
      </c>
      <c r="H147" s="4">
        <v>7545</v>
      </c>
      <c r="I147" s="4">
        <v>-7550</v>
      </c>
      <c r="J147" s="4">
        <v>1</v>
      </c>
      <c r="K147" s="4">
        <v>500</v>
      </c>
      <c r="L147" s="4" t="str">
        <f t="shared" si="114"/>
        <v>人民币</v>
      </c>
      <c r="M147" s="4" t="str">
        <f>"T4004327"</f>
        <v>T4004327</v>
      </c>
      <c r="N147" s="4" t="str">
        <f t="shared" si="120"/>
        <v>0149593788</v>
      </c>
      <c r="O147" s="4" t="str">
        <f t="shared" si="115"/>
        <v>300100052893</v>
      </c>
    </row>
    <row r="148" spans="1:15">
      <c r="A148" s="4" t="str">
        <f t="shared" ref="A148:A151" si="128">"20180301"</f>
        <v>20180301</v>
      </c>
      <c r="B148" s="4" t="str">
        <f t="shared" ref="B148:B151" si="129">"20180301"</f>
        <v>20180301</v>
      </c>
      <c r="C148" s="4" t="str">
        <f>"基金赎回拨入"</f>
        <v>基金赎回拨入</v>
      </c>
      <c r="D148" s="4" t="str">
        <f>"AA0007"</f>
        <v>AA0007</v>
      </c>
      <c r="E148" s="4" t="str">
        <f>"银河水星1号集合"</f>
        <v>银河水星1号集合</v>
      </c>
      <c r="F148" s="4">
        <v>0</v>
      </c>
      <c r="G148" s="4">
        <v>11555</v>
      </c>
      <c r="H148" s="4">
        <v>0</v>
      </c>
      <c r="I148" s="4">
        <v>11555</v>
      </c>
      <c r="J148" s="4">
        <v>11556</v>
      </c>
      <c r="K148" s="4">
        <v>0</v>
      </c>
      <c r="L148" s="4" t="str">
        <f t="shared" si="114"/>
        <v>人民币</v>
      </c>
      <c r="N148" s="4" t="str">
        <f>"980149593788"</f>
        <v>980149593788</v>
      </c>
      <c r="O148" s="4" t="str">
        <f t="shared" si="115"/>
        <v>300100052893</v>
      </c>
    </row>
    <row r="149" spans="1:15">
      <c r="A149" s="4" t="str">
        <f t="shared" si="128"/>
        <v>20180301</v>
      </c>
      <c r="B149" s="4" t="str">
        <f t="shared" si="129"/>
        <v>20180301</v>
      </c>
      <c r="C149" s="4" t="str">
        <f t="shared" si="127"/>
        <v>证券买入</v>
      </c>
      <c r="D149" s="4" t="str">
        <f t="shared" si="125"/>
        <v>150153</v>
      </c>
      <c r="E149" s="4" t="str">
        <f t="shared" si="126"/>
        <v>创业板B</v>
      </c>
      <c r="F149" s="4">
        <v>0.539</v>
      </c>
      <c r="G149" s="4">
        <v>20000</v>
      </c>
      <c r="H149" s="4">
        <v>10780</v>
      </c>
      <c r="I149" s="4">
        <v>-10785</v>
      </c>
      <c r="J149" s="4">
        <v>771</v>
      </c>
      <c r="K149" s="4">
        <v>80000</v>
      </c>
      <c r="L149" s="4" t="str">
        <f t="shared" si="114"/>
        <v>人民币</v>
      </c>
      <c r="M149" s="4" t="str">
        <f>"T4001210"</f>
        <v>T4001210</v>
      </c>
      <c r="N149" s="4" t="str">
        <f t="shared" ref="N149:N151" si="130">"0149593788"</f>
        <v>0149593788</v>
      </c>
      <c r="O149" s="4" t="str">
        <f t="shared" si="115"/>
        <v>300100052893</v>
      </c>
    </row>
    <row r="150" spans="1:15">
      <c r="A150" s="4" t="str">
        <f t="shared" si="128"/>
        <v>20180301</v>
      </c>
      <c r="B150" s="4" t="str">
        <f t="shared" si="129"/>
        <v>20180301</v>
      </c>
      <c r="C150" s="4" t="str">
        <f t="shared" si="127"/>
        <v>证券买入</v>
      </c>
      <c r="D150" s="4" t="str">
        <f>"150182"</f>
        <v>150182</v>
      </c>
      <c r="E150" s="4" t="str">
        <f>"军工B"</f>
        <v>军工B</v>
      </c>
      <c r="F150" s="4">
        <v>0.588</v>
      </c>
      <c r="G150" s="4">
        <v>20000</v>
      </c>
      <c r="H150" s="4">
        <v>11760</v>
      </c>
      <c r="I150" s="4">
        <v>-11765</v>
      </c>
      <c r="J150" s="4">
        <v>-10994</v>
      </c>
      <c r="K150" s="4">
        <v>20000</v>
      </c>
      <c r="L150" s="4" t="str">
        <f t="shared" si="114"/>
        <v>人民币</v>
      </c>
      <c r="M150" s="4" t="str">
        <f>"T4001512"</f>
        <v>T4001512</v>
      </c>
      <c r="N150" s="4" t="str">
        <f t="shared" si="130"/>
        <v>0149593788</v>
      </c>
      <c r="O150" s="4" t="str">
        <f t="shared" si="115"/>
        <v>300100052893</v>
      </c>
    </row>
    <row r="151" spans="1:15">
      <c r="A151" s="4" t="str">
        <f t="shared" si="128"/>
        <v>20180301</v>
      </c>
      <c r="B151" s="4" t="str">
        <f t="shared" si="129"/>
        <v>20180301</v>
      </c>
      <c r="C151" s="4" t="str">
        <f t="shared" ref="C151:C157" si="131">"证券卖出"</f>
        <v>证券卖出</v>
      </c>
      <c r="D151" s="4" t="str">
        <f t="shared" si="125"/>
        <v>150153</v>
      </c>
      <c r="E151" s="4" t="str">
        <f t="shared" si="126"/>
        <v>创业板B</v>
      </c>
      <c r="F151" s="4">
        <v>0.55</v>
      </c>
      <c r="G151" s="4">
        <v>20000</v>
      </c>
      <c r="H151" s="4">
        <v>11000</v>
      </c>
      <c r="I151" s="4">
        <v>10995</v>
      </c>
      <c r="J151" s="4">
        <v>1</v>
      </c>
      <c r="K151" s="4">
        <v>60000</v>
      </c>
      <c r="L151" s="4" t="str">
        <f t="shared" si="114"/>
        <v>人民币</v>
      </c>
      <c r="M151" s="4" t="str">
        <f>"T4005441"</f>
        <v>T4005441</v>
      </c>
      <c r="N151" s="4" t="str">
        <f t="shared" si="130"/>
        <v>0149593788</v>
      </c>
      <c r="O151" s="4" t="str">
        <f t="shared" si="115"/>
        <v>300100052893</v>
      </c>
    </row>
    <row r="152" spans="1:15">
      <c r="A152" s="4" t="str">
        <f t="shared" ref="A152:A160" si="132">"20180302"</f>
        <v>20180302</v>
      </c>
      <c r="B152" s="4" t="str">
        <f t="shared" ref="B152:B160" si="133">"20180302"</f>
        <v>20180302</v>
      </c>
      <c r="C152" s="4" t="str">
        <f>"基金申购拨出"</f>
        <v>基金申购拨出</v>
      </c>
      <c r="D152" s="4" t="str">
        <f>"AA0007"</f>
        <v>AA0007</v>
      </c>
      <c r="E152" s="4" t="str">
        <f>"银河水星1号集合"</f>
        <v>银河水星1号集合</v>
      </c>
      <c r="F152" s="4">
        <v>0</v>
      </c>
      <c r="G152" s="4">
        <v>0</v>
      </c>
      <c r="H152" s="4">
        <v>0</v>
      </c>
      <c r="I152" s="4">
        <v>-39801.02</v>
      </c>
      <c r="J152" s="4">
        <v>-39800.02</v>
      </c>
      <c r="K152" s="4">
        <v>0</v>
      </c>
      <c r="L152" s="4" t="str">
        <f t="shared" si="114"/>
        <v>人民币</v>
      </c>
      <c r="N152" s="4" t="str">
        <f>"980149593788"</f>
        <v>980149593788</v>
      </c>
      <c r="O152" s="4" t="str">
        <f t="shared" si="115"/>
        <v>300100052893</v>
      </c>
    </row>
    <row r="153" spans="1:15">
      <c r="A153" s="4" t="str">
        <f t="shared" si="132"/>
        <v>20180302</v>
      </c>
      <c r="B153" s="4" t="str">
        <f t="shared" si="133"/>
        <v>20180302</v>
      </c>
      <c r="C153" s="4" t="str">
        <f t="shared" si="131"/>
        <v>证券卖出</v>
      </c>
      <c r="D153" s="4" t="str">
        <f>"150153"</f>
        <v>150153</v>
      </c>
      <c r="E153" s="4" t="str">
        <f>"创业板B"</f>
        <v>创业板B</v>
      </c>
      <c r="F153" s="4">
        <v>0.562</v>
      </c>
      <c r="G153" s="4">
        <v>20000</v>
      </c>
      <c r="H153" s="4">
        <v>11240</v>
      </c>
      <c r="I153" s="4">
        <v>11235</v>
      </c>
      <c r="J153" s="4">
        <v>-28565.02</v>
      </c>
      <c r="K153" s="4">
        <v>40000</v>
      </c>
      <c r="L153" s="4" t="str">
        <f t="shared" si="114"/>
        <v>人民币</v>
      </c>
      <c r="M153" s="4" t="str">
        <f>"T4001825"</f>
        <v>T4001825</v>
      </c>
      <c r="N153" s="4" t="str">
        <f t="shared" ref="N153:N160" si="134">"0149593788"</f>
        <v>0149593788</v>
      </c>
      <c r="O153" s="4" t="str">
        <f t="shared" si="115"/>
        <v>300100052893</v>
      </c>
    </row>
    <row r="154" spans="1:15">
      <c r="A154" s="4" t="str">
        <f t="shared" si="132"/>
        <v>20180302</v>
      </c>
      <c r="B154" s="4" t="str">
        <f t="shared" si="133"/>
        <v>20180302</v>
      </c>
      <c r="C154" s="4" t="str">
        <f t="shared" si="131"/>
        <v>证券卖出</v>
      </c>
      <c r="D154" s="4" t="str">
        <f>"150182"</f>
        <v>150182</v>
      </c>
      <c r="E154" s="4" t="str">
        <f>"军工B"</f>
        <v>军工B</v>
      </c>
      <c r="F154" s="4">
        <v>0.6</v>
      </c>
      <c r="G154" s="4">
        <v>20000</v>
      </c>
      <c r="H154" s="4">
        <v>12000</v>
      </c>
      <c r="I154" s="4">
        <v>11995</v>
      </c>
      <c r="J154" s="4">
        <v>-16570.02</v>
      </c>
      <c r="K154" s="4">
        <v>0</v>
      </c>
      <c r="L154" s="4" t="str">
        <f t="shared" si="114"/>
        <v>人民币</v>
      </c>
      <c r="M154" s="4" t="str">
        <f>"T4001865"</f>
        <v>T4001865</v>
      </c>
      <c r="N154" s="4" t="str">
        <f t="shared" si="134"/>
        <v>0149593788</v>
      </c>
      <c r="O154" s="4" t="str">
        <f t="shared" si="115"/>
        <v>300100052893</v>
      </c>
    </row>
    <row r="155" spans="1:15">
      <c r="A155" s="4" t="str">
        <f t="shared" si="132"/>
        <v>20180302</v>
      </c>
      <c r="B155" s="4" t="str">
        <f t="shared" si="133"/>
        <v>20180302</v>
      </c>
      <c r="C155" s="4" t="str">
        <f t="shared" si="131"/>
        <v>证券卖出</v>
      </c>
      <c r="D155" s="4" t="str">
        <f>"000601"</f>
        <v>000601</v>
      </c>
      <c r="E155" s="4" t="str">
        <f>"韶能股份"</f>
        <v>韶能股份</v>
      </c>
      <c r="F155" s="4">
        <v>6.96</v>
      </c>
      <c r="G155" s="4">
        <v>1500</v>
      </c>
      <c r="H155" s="4">
        <v>10440</v>
      </c>
      <c r="I155" s="4">
        <v>10424.57</v>
      </c>
      <c r="J155" s="4">
        <v>-6145.45</v>
      </c>
      <c r="K155" s="4">
        <v>22200</v>
      </c>
      <c r="L155" s="4" t="str">
        <f t="shared" si="114"/>
        <v>人民币</v>
      </c>
      <c r="M155" s="4" t="str">
        <f>"T4001915"</f>
        <v>T4001915</v>
      </c>
      <c r="N155" s="4" t="str">
        <f t="shared" si="134"/>
        <v>0149593788</v>
      </c>
      <c r="O155" s="4" t="str">
        <f t="shared" si="115"/>
        <v>300100052893</v>
      </c>
    </row>
    <row r="156" spans="1:15">
      <c r="A156" s="4" t="str">
        <f t="shared" si="132"/>
        <v>20180302</v>
      </c>
      <c r="B156" s="4" t="str">
        <f t="shared" si="133"/>
        <v>20180302</v>
      </c>
      <c r="C156" s="4" t="str">
        <f t="shared" si="131"/>
        <v>证券卖出</v>
      </c>
      <c r="D156" s="4" t="str">
        <f>"002015"</f>
        <v>002015</v>
      </c>
      <c r="E156" s="4" t="str">
        <f>"霞客环保"</f>
        <v>霞客环保</v>
      </c>
      <c r="F156" s="4">
        <v>5.72</v>
      </c>
      <c r="G156" s="4">
        <v>2000</v>
      </c>
      <c r="H156" s="4">
        <v>11440</v>
      </c>
      <c r="I156" s="4">
        <v>11423.56</v>
      </c>
      <c r="J156" s="4">
        <v>5278.11</v>
      </c>
      <c r="K156" s="4">
        <v>0</v>
      </c>
      <c r="L156" s="4" t="str">
        <f t="shared" si="114"/>
        <v>人民币</v>
      </c>
      <c r="M156" s="4" t="str">
        <f>"T4001992"</f>
        <v>T4001992</v>
      </c>
      <c r="N156" s="4" t="str">
        <f t="shared" si="134"/>
        <v>0149593788</v>
      </c>
      <c r="O156" s="4" t="str">
        <f t="shared" si="115"/>
        <v>300100052893</v>
      </c>
    </row>
    <row r="157" spans="1:15">
      <c r="A157" s="4" t="str">
        <f t="shared" si="132"/>
        <v>20180302</v>
      </c>
      <c r="B157" s="4" t="str">
        <f t="shared" si="133"/>
        <v>20180302</v>
      </c>
      <c r="C157" s="4" t="str">
        <f t="shared" si="131"/>
        <v>证券卖出</v>
      </c>
      <c r="D157" s="4" t="str">
        <f>"150153"</f>
        <v>150153</v>
      </c>
      <c r="E157" s="4" t="str">
        <f>"创业板B"</f>
        <v>创业板B</v>
      </c>
      <c r="F157" s="4">
        <v>0.556</v>
      </c>
      <c r="G157" s="4">
        <v>40000</v>
      </c>
      <c r="H157" s="4">
        <v>22240</v>
      </c>
      <c r="I157" s="4">
        <v>22233.11</v>
      </c>
      <c r="J157" s="4">
        <v>27511.22</v>
      </c>
      <c r="K157" s="4">
        <v>0</v>
      </c>
      <c r="L157" s="4" t="str">
        <f t="shared" si="114"/>
        <v>人民币</v>
      </c>
      <c r="M157" s="4" t="str">
        <f>"T4002234"</f>
        <v>T4002234</v>
      </c>
      <c r="N157" s="4" t="str">
        <f t="shared" si="134"/>
        <v>0149593788</v>
      </c>
      <c r="O157" s="4" t="str">
        <f t="shared" si="115"/>
        <v>300100052893</v>
      </c>
    </row>
    <row r="158" spans="1:15">
      <c r="A158" s="4" t="str">
        <f t="shared" si="132"/>
        <v>20180302</v>
      </c>
      <c r="B158" s="4" t="str">
        <f t="shared" si="133"/>
        <v>20180302</v>
      </c>
      <c r="C158" s="4" t="str">
        <f>"证券买入"</f>
        <v>证券买入</v>
      </c>
      <c r="D158" s="4" t="str">
        <f>"150182"</f>
        <v>150182</v>
      </c>
      <c r="E158" s="4" t="str">
        <f>"军工B"</f>
        <v>军工B</v>
      </c>
      <c r="F158" s="4">
        <v>0.607</v>
      </c>
      <c r="G158" s="4">
        <v>40000</v>
      </c>
      <c r="H158" s="4">
        <v>24280</v>
      </c>
      <c r="I158" s="4">
        <v>-24287.53</v>
      </c>
      <c r="J158" s="4">
        <v>3223.69</v>
      </c>
      <c r="K158" s="4">
        <v>40000</v>
      </c>
      <c r="L158" s="4" t="str">
        <f t="shared" si="114"/>
        <v>人民币</v>
      </c>
      <c r="M158" s="4" t="str">
        <f>"T4002846"</f>
        <v>T4002846</v>
      </c>
      <c r="N158" s="4" t="str">
        <f t="shared" si="134"/>
        <v>0149593788</v>
      </c>
      <c r="O158" s="4" t="str">
        <f t="shared" si="115"/>
        <v>300100052893</v>
      </c>
    </row>
    <row r="159" spans="1:15">
      <c r="A159" s="4" t="str">
        <f t="shared" si="132"/>
        <v>20180302</v>
      </c>
      <c r="B159" s="4" t="str">
        <f t="shared" si="133"/>
        <v>20180302</v>
      </c>
      <c r="C159" s="4" t="str">
        <f>"证券卖出"</f>
        <v>证券卖出</v>
      </c>
      <c r="D159" s="4" t="str">
        <f>"000768"</f>
        <v>000768</v>
      </c>
      <c r="E159" s="4" t="str">
        <f>"中航飞机"</f>
        <v>中航飞机</v>
      </c>
      <c r="F159" s="4">
        <v>15.35</v>
      </c>
      <c r="G159" s="4">
        <v>500</v>
      </c>
      <c r="H159" s="4">
        <v>7675</v>
      </c>
      <c r="I159" s="4">
        <v>7662.32</v>
      </c>
      <c r="J159" s="4">
        <v>10886.01</v>
      </c>
      <c r="K159" s="4">
        <v>0</v>
      </c>
      <c r="L159" s="4" t="str">
        <f t="shared" si="114"/>
        <v>人民币</v>
      </c>
      <c r="M159" s="4" t="str">
        <f>"T4002883"</f>
        <v>T4002883</v>
      </c>
      <c r="N159" s="4" t="str">
        <f t="shared" si="134"/>
        <v>0149593788</v>
      </c>
      <c r="O159" s="4" t="str">
        <f t="shared" si="115"/>
        <v>300100052893</v>
      </c>
    </row>
    <row r="160" spans="1:15">
      <c r="A160" s="4" t="str">
        <f t="shared" si="132"/>
        <v>20180302</v>
      </c>
      <c r="B160" s="4" t="str">
        <f t="shared" si="133"/>
        <v>20180302</v>
      </c>
      <c r="C160" s="4" t="str">
        <f>"证券买入"</f>
        <v>证券买入</v>
      </c>
      <c r="D160" s="4" t="str">
        <f>"150153"</f>
        <v>150153</v>
      </c>
      <c r="E160" s="4" t="str">
        <f>"创业板B"</f>
        <v>创业板B</v>
      </c>
      <c r="F160" s="4">
        <v>0.544</v>
      </c>
      <c r="G160" s="4">
        <v>20000</v>
      </c>
      <c r="H160" s="4">
        <v>10880</v>
      </c>
      <c r="I160" s="4">
        <v>-10885</v>
      </c>
      <c r="J160" s="4">
        <v>1.01</v>
      </c>
      <c r="K160" s="4">
        <v>20000</v>
      </c>
      <c r="L160" s="4" t="str">
        <f t="shared" si="114"/>
        <v>人民币</v>
      </c>
      <c r="M160" s="4" t="str">
        <f>"T4004801"</f>
        <v>T4004801</v>
      </c>
      <c r="N160" s="4" t="str">
        <f t="shared" si="134"/>
        <v>0149593788</v>
      </c>
      <c r="O160" s="4" t="str">
        <f t="shared" si="115"/>
        <v>300100052893</v>
      </c>
    </row>
    <row r="161" spans="1:15">
      <c r="A161" s="4" t="str">
        <f>"20180305"</f>
        <v>20180305</v>
      </c>
      <c r="B161" s="4" t="str">
        <f>"20180305"</f>
        <v>20180305</v>
      </c>
      <c r="C161" s="4" t="str">
        <f>"基金赎回拨入"</f>
        <v>基金赎回拨入</v>
      </c>
      <c r="D161" s="4" t="str">
        <f>"AA0007"</f>
        <v>AA0007</v>
      </c>
      <c r="E161" s="4" t="str">
        <f>"银河水星1号集合"</f>
        <v>银河水星1号集合</v>
      </c>
      <c r="F161" s="4">
        <v>0</v>
      </c>
      <c r="G161" s="4">
        <v>28</v>
      </c>
      <c r="H161" s="4">
        <v>0</v>
      </c>
      <c r="I161" s="4">
        <v>28.99</v>
      </c>
      <c r="J161" s="4">
        <v>30</v>
      </c>
      <c r="K161" s="4">
        <v>0</v>
      </c>
      <c r="L161" s="4" t="str">
        <f t="shared" si="114"/>
        <v>人民币</v>
      </c>
      <c r="N161" s="4" t="str">
        <f>"980149593788"</f>
        <v>980149593788</v>
      </c>
      <c r="O161" s="4" t="str">
        <f t="shared" si="115"/>
        <v>300100052893</v>
      </c>
    </row>
    <row r="162" spans="1:15">
      <c r="A162" s="4" t="str">
        <f t="shared" ref="A162:A168" si="135">"20180306"</f>
        <v>20180306</v>
      </c>
      <c r="B162" s="4" t="str">
        <f>"0"</f>
        <v>0</v>
      </c>
      <c r="C162" s="4" t="str">
        <f>"股息红利差异扣税"</f>
        <v>股息红利差异扣税</v>
      </c>
      <c r="D162" s="4" t="str">
        <f>"000601"</f>
        <v>000601</v>
      </c>
      <c r="E162" s="4" t="str">
        <f>"韶能股份"</f>
        <v>韶能股份</v>
      </c>
      <c r="F162" s="4">
        <v>0</v>
      </c>
      <c r="G162" s="4">
        <v>0</v>
      </c>
      <c r="H162" s="4">
        <v>0</v>
      </c>
      <c r="I162" s="4">
        <v>-30</v>
      </c>
      <c r="J162" s="4">
        <v>0</v>
      </c>
      <c r="K162" s="4">
        <v>0</v>
      </c>
      <c r="L162" s="4" t="str">
        <f t="shared" si="114"/>
        <v>人民币</v>
      </c>
      <c r="N162" s="4" t="str">
        <f t="shared" ref="N162:N168" si="136">"0149593788"</f>
        <v>0149593788</v>
      </c>
      <c r="O162" s="4" t="str">
        <f t="shared" si="115"/>
        <v>300100052893</v>
      </c>
    </row>
    <row r="163" spans="1:15">
      <c r="A163" s="4" t="str">
        <f t="shared" si="135"/>
        <v>20180306</v>
      </c>
      <c r="B163" s="4" t="str">
        <f t="shared" ref="B163:B168" si="137">"20180306"</f>
        <v>20180306</v>
      </c>
      <c r="C163" s="4" t="str">
        <f>"基金申购拨出"</f>
        <v>基金申购拨出</v>
      </c>
      <c r="D163" s="4" t="str">
        <f>"AA0007"</f>
        <v>AA0007</v>
      </c>
      <c r="E163" s="4" t="str">
        <f>"银河水星1号集合"</f>
        <v>银河水星1号集合</v>
      </c>
      <c r="F163" s="4">
        <v>0</v>
      </c>
      <c r="G163" s="4">
        <v>0</v>
      </c>
      <c r="H163" s="4">
        <v>0</v>
      </c>
      <c r="I163" s="4">
        <v>-9864</v>
      </c>
      <c r="J163" s="4">
        <v>-9864</v>
      </c>
      <c r="K163" s="4">
        <v>0</v>
      </c>
      <c r="L163" s="4" t="str">
        <f t="shared" si="114"/>
        <v>人民币</v>
      </c>
      <c r="N163" s="4" t="str">
        <f>"980149593788"</f>
        <v>980149593788</v>
      </c>
      <c r="O163" s="4" t="str">
        <f t="shared" si="115"/>
        <v>300100052893</v>
      </c>
    </row>
    <row r="164" spans="1:15">
      <c r="A164" s="4" t="str">
        <f t="shared" si="135"/>
        <v>20180306</v>
      </c>
      <c r="B164" s="4" t="str">
        <f t="shared" si="137"/>
        <v>20180306</v>
      </c>
      <c r="C164" s="4" t="str">
        <f t="shared" ref="C164:C168" si="138">"证券卖出"</f>
        <v>证券卖出</v>
      </c>
      <c r="D164" s="4" t="str">
        <f>"150182"</f>
        <v>150182</v>
      </c>
      <c r="E164" s="4" t="str">
        <f>"军工B"</f>
        <v>军工B</v>
      </c>
      <c r="F164" s="4">
        <v>0.625</v>
      </c>
      <c r="G164" s="4">
        <v>20000</v>
      </c>
      <c r="H164" s="4">
        <v>12500</v>
      </c>
      <c r="I164" s="4">
        <v>12495</v>
      </c>
      <c r="J164" s="4">
        <v>2631</v>
      </c>
      <c r="K164" s="4">
        <v>20000</v>
      </c>
      <c r="L164" s="4" t="str">
        <f t="shared" si="114"/>
        <v>人民币</v>
      </c>
      <c r="M164" s="4" t="str">
        <f>"T4002162"</f>
        <v>T4002162</v>
      </c>
      <c r="N164" s="4" t="str">
        <f t="shared" si="136"/>
        <v>0149593788</v>
      </c>
      <c r="O164" s="4" t="str">
        <f t="shared" si="115"/>
        <v>300100052893</v>
      </c>
    </row>
    <row r="165" spans="1:15">
      <c r="A165" s="4" t="str">
        <f t="shared" si="135"/>
        <v>20180306</v>
      </c>
      <c r="B165" s="4" t="str">
        <f t="shared" si="137"/>
        <v>20180306</v>
      </c>
      <c r="C165" s="4" t="str">
        <f>"证券买入"</f>
        <v>证券买入</v>
      </c>
      <c r="D165" s="4" t="str">
        <f>"150153"</f>
        <v>150153</v>
      </c>
      <c r="E165" s="4" t="str">
        <f>"创业板B"</f>
        <v>创业板B</v>
      </c>
      <c r="F165" s="4">
        <v>0.575</v>
      </c>
      <c r="G165" s="4">
        <v>20000</v>
      </c>
      <c r="H165" s="4">
        <v>11500</v>
      </c>
      <c r="I165" s="4">
        <v>-11505</v>
      </c>
      <c r="J165" s="4">
        <v>-8874</v>
      </c>
      <c r="K165" s="4">
        <v>40000</v>
      </c>
      <c r="L165" s="4" t="str">
        <f t="shared" si="114"/>
        <v>人民币</v>
      </c>
      <c r="M165" s="4" t="str">
        <f>"T4002210"</f>
        <v>T4002210</v>
      </c>
      <c r="N165" s="4" t="str">
        <f t="shared" si="136"/>
        <v>0149593788</v>
      </c>
      <c r="O165" s="4" t="str">
        <f t="shared" si="115"/>
        <v>300100052893</v>
      </c>
    </row>
    <row r="166" spans="1:15">
      <c r="A166" s="4" t="str">
        <f t="shared" si="135"/>
        <v>20180306</v>
      </c>
      <c r="B166" s="4" t="str">
        <f t="shared" si="137"/>
        <v>20180306</v>
      </c>
      <c r="C166" s="4" t="str">
        <f t="shared" si="138"/>
        <v>证券卖出</v>
      </c>
      <c r="D166" s="4" t="str">
        <f>"150182"</f>
        <v>150182</v>
      </c>
      <c r="E166" s="4" t="str">
        <f>"军工B"</f>
        <v>军工B</v>
      </c>
      <c r="F166" s="4">
        <v>0.624</v>
      </c>
      <c r="G166" s="4">
        <v>20000</v>
      </c>
      <c r="H166" s="4">
        <v>12480</v>
      </c>
      <c r="I166" s="4">
        <v>12475</v>
      </c>
      <c r="J166" s="4">
        <v>3601</v>
      </c>
      <c r="K166" s="4">
        <v>0</v>
      </c>
      <c r="L166" s="4" t="str">
        <f t="shared" si="114"/>
        <v>人民币</v>
      </c>
      <c r="M166" s="4" t="str">
        <f>"T4002459"</f>
        <v>T4002459</v>
      </c>
      <c r="N166" s="4" t="str">
        <f t="shared" si="136"/>
        <v>0149593788</v>
      </c>
      <c r="O166" s="4" t="str">
        <f t="shared" si="115"/>
        <v>300100052893</v>
      </c>
    </row>
    <row r="167" spans="1:15">
      <c r="A167" s="4" t="str">
        <f t="shared" si="135"/>
        <v>20180306</v>
      </c>
      <c r="B167" s="4" t="str">
        <f t="shared" si="137"/>
        <v>20180306</v>
      </c>
      <c r="C167" s="4" t="str">
        <f>"证券买入"</f>
        <v>证券买入</v>
      </c>
      <c r="D167" s="4" t="str">
        <f t="shared" ref="D167:D172" si="139">"000768"</f>
        <v>000768</v>
      </c>
      <c r="E167" s="4" t="str">
        <f t="shared" ref="E167:E172" si="140">"中航飞机"</f>
        <v>中航飞机</v>
      </c>
      <c r="F167" s="4">
        <v>15.13</v>
      </c>
      <c r="G167" s="4">
        <v>1000</v>
      </c>
      <c r="H167" s="4">
        <v>15130</v>
      </c>
      <c r="I167" s="4">
        <v>-15135</v>
      </c>
      <c r="J167" s="4">
        <v>-11534</v>
      </c>
      <c r="K167" s="4">
        <v>1000</v>
      </c>
      <c r="L167" s="4" t="str">
        <f t="shared" si="114"/>
        <v>人民币</v>
      </c>
      <c r="M167" s="4" t="str">
        <f>"T4002577"</f>
        <v>T4002577</v>
      </c>
      <c r="N167" s="4" t="str">
        <f t="shared" si="136"/>
        <v>0149593788</v>
      </c>
      <c r="O167" s="4" t="str">
        <f t="shared" si="115"/>
        <v>300100052893</v>
      </c>
    </row>
    <row r="168" spans="1:15">
      <c r="A168" s="4" t="str">
        <f t="shared" si="135"/>
        <v>20180306</v>
      </c>
      <c r="B168" s="4" t="str">
        <f t="shared" si="137"/>
        <v>20180306</v>
      </c>
      <c r="C168" s="4" t="str">
        <f t="shared" si="138"/>
        <v>证券卖出</v>
      </c>
      <c r="D168" s="4" t="str">
        <f>"150153"</f>
        <v>150153</v>
      </c>
      <c r="E168" s="4" t="str">
        <f>"创业板B"</f>
        <v>创业板B</v>
      </c>
      <c r="F168" s="4">
        <v>0.577</v>
      </c>
      <c r="G168" s="4">
        <v>20000</v>
      </c>
      <c r="H168" s="4">
        <v>11540</v>
      </c>
      <c r="I168" s="4">
        <v>11535</v>
      </c>
      <c r="J168" s="4">
        <v>1</v>
      </c>
      <c r="K168" s="4">
        <v>20000</v>
      </c>
      <c r="L168" s="4" t="str">
        <f t="shared" si="114"/>
        <v>人民币</v>
      </c>
      <c r="M168" s="4" t="str">
        <f>"T4002805"</f>
        <v>T4002805</v>
      </c>
      <c r="N168" s="4" t="str">
        <f t="shared" si="136"/>
        <v>0149593788</v>
      </c>
      <c r="O168" s="4" t="str">
        <f t="shared" si="115"/>
        <v>300100052893</v>
      </c>
    </row>
    <row r="169" spans="1:15">
      <c r="A169" s="4" t="str">
        <f t="shared" ref="A169:A172" si="141">"20180307"</f>
        <v>20180307</v>
      </c>
      <c r="B169" s="4" t="str">
        <f t="shared" ref="B169:B172" si="142">"20180307"</f>
        <v>20180307</v>
      </c>
      <c r="C169" s="4" t="str">
        <f>"基金申购拨出"</f>
        <v>基金申购拨出</v>
      </c>
      <c r="D169" s="4" t="str">
        <f>"AA0007"</f>
        <v>AA0007</v>
      </c>
      <c r="E169" s="4" t="str">
        <f>"银河水星1号集合"</f>
        <v>银河水星1号集合</v>
      </c>
      <c r="F169" s="4">
        <v>0</v>
      </c>
      <c r="G169" s="4">
        <v>0</v>
      </c>
      <c r="H169" s="4">
        <v>0</v>
      </c>
      <c r="I169" s="4">
        <v>-18964.38</v>
      </c>
      <c r="J169" s="4">
        <v>-18963.38</v>
      </c>
      <c r="K169" s="4">
        <v>0</v>
      </c>
      <c r="L169" s="4" t="str">
        <f t="shared" si="114"/>
        <v>人民币</v>
      </c>
      <c r="N169" s="4" t="str">
        <f>"980149593788"</f>
        <v>980149593788</v>
      </c>
      <c r="O169" s="4" t="str">
        <f t="shared" si="115"/>
        <v>300100052893</v>
      </c>
    </row>
    <row r="170" spans="1:15">
      <c r="A170" s="4" t="str">
        <f t="shared" si="141"/>
        <v>20180307</v>
      </c>
      <c r="B170" s="4" t="str">
        <f t="shared" si="142"/>
        <v>20180307</v>
      </c>
      <c r="C170" s="4" t="str">
        <f>"证券卖出"</f>
        <v>证券卖出</v>
      </c>
      <c r="D170" s="4" t="str">
        <f t="shared" si="139"/>
        <v>000768</v>
      </c>
      <c r="E170" s="4" t="str">
        <f t="shared" si="140"/>
        <v>中航飞机</v>
      </c>
      <c r="F170" s="4">
        <v>15.615</v>
      </c>
      <c r="G170" s="4">
        <v>1000</v>
      </c>
      <c r="H170" s="4">
        <v>15615</v>
      </c>
      <c r="I170" s="4">
        <v>15594.38</v>
      </c>
      <c r="J170" s="4">
        <v>-3369</v>
      </c>
      <c r="K170" s="4">
        <v>0</v>
      </c>
      <c r="L170" s="4" t="str">
        <f t="shared" si="114"/>
        <v>人民币</v>
      </c>
      <c r="M170" s="4" t="str">
        <f>"T4005625"</f>
        <v>T4005625</v>
      </c>
      <c r="N170" s="4" t="str">
        <f t="shared" ref="N170:N172" si="143">"0149593788"</f>
        <v>0149593788</v>
      </c>
      <c r="O170" s="4" t="str">
        <f t="shared" si="115"/>
        <v>300100052893</v>
      </c>
    </row>
    <row r="171" spans="1:15">
      <c r="A171" s="4" t="str">
        <f t="shared" si="141"/>
        <v>20180307</v>
      </c>
      <c r="B171" s="4" t="str">
        <f t="shared" si="142"/>
        <v>20180307</v>
      </c>
      <c r="C171" s="4" t="str">
        <f>"证券卖出"</f>
        <v>证券卖出</v>
      </c>
      <c r="D171" s="4" t="str">
        <f>"150153"</f>
        <v>150153</v>
      </c>
      <c r="E171" s="4" t="str">
        <f>"创业板B"</f>
        <v>创业板B</v>
      </c>
      <c r="F171" s="4">
        <v>0.557</v>
      </c>
      <c r="G171" s="4">
        <v>20000</v>
      </c>
      <c r="H171" s="4">
        <v>11140</v>
      </c>
      <c r="I171" s="4">
        <v>11135</v>
      </c>
      <c r="J171" s="4">
        <v>7766</v>
      </c>
      <c r="K171" s="4">
        <v>0</v>
      </c>
      <c r="L171" s="4" t="str">
        <f t="shared" si="114"/>
        <v>人民币</v>
      </c>
      <c r="M171" s="4" t="str">
        <f>"T4005987"</f>
        <v>T4005987</v>
      </c>
      <c r="N171" s="4" t="str">
        <f t="shared" si="143"/>
        <v>0149593788</v>
      </c>
      <c r="O171" s="4" t="str">
        <f t="shared" si="115"/>
        <v>300100052893</v>
      </c>
    </row>
    <row r="172" spans="1:15">
      <c r="A172" s="4" t="str">
        <f t="shared" si="141"/>
        <v>20180307</v>
      </c>
      <c r="B172" s="4" t="str">
        <f t="shared" si="142"/>
        <v>20180307</v>
      </c>
      <c r="C172" s="4" t="str">
        <f>"证券买入"</f>
        <v>证券买入</v>
      </c>
      <c r="D172" s="4" t="str">
        <f t="shared" si="139"/>
        <v>000768</v>
      </c>
      <c r="E172" s="4" t="str">
        <f t="shared" si="140"/>
        <v>中航飞机</v>
      </c>
      <c r="F172" s="4">
        <v>15.52</v>
      </c>
      <c r="G172" s="4">
        <v>500</v>
      </c>
      <c r="H172" s="4">
        <v>7760</v>
      </c>
      <c r="I172" s="4">
        <v>-7765</v>
      </c>
      <c r="J172" s="4">
        <v>1</v>
      </c>
      <c r="K172" s="4">
        <v>500</v>
      </c>
      <c r="L172" s="4" t="str">
        <f t="shared" si="114"/>
        <v>人民币</v>
      </c>
      <c r="M172" s="4" t="str">
        <f>"T4006219"</f>
        <v>T4006219</v>
      </c>
      <c r="N172" s="4" t="str">
        <f t="shared" si="143"/>
        <v>0149593788</v>
      </c>
      <c r="O172" s="4" t="str">
        <f t="shared" si="115"/>
        <v>300100052893</v>
      </c>
    </row>
    <row r="173" spans="1:15">
      <c r="A173" s="4" t="str">
        <f>"20180320"</f>
        <v>20180320</v>
      </c>
      <c r="B173" s="4" t="str">
        <f>"20180320"</f>
        <v>20180320</v>
      </c>
      <c r="C173" s="4" t="str">
        <f>"利息归本"</f>
        <v>利息归本</v>
      </c>
      <c r="F173" s="4">
        <v>0</v>
      </c>
      <c r="G173" s="4">
        <v>0</v>
      </c>
      <c r="H173" s="4">
        <v>0</v>
      </c>
      <c r="I173" s="4">
        <v>5.74</v>
      </c>
      <c r="J173" s="4">
        <v>6.74</v>
      </c>
      <c r="K173" s="4">
        <v>0</v>
      </c>
      <c r="L173" s="4" t="str">
        <f t="shared" si="114"/>
        <v>人民币</v>
      </c>
      <c r="O173" s="4" t="str">
        <f t="shared" si="115"/>
        <v>300100052893</v>
      </c>
    </row>
    <row r="174" spans="1:15">
      <c r="A174" s="4" t="str">
        <f>"20180321"</f>
        <v>20180321</v>
      </c>
      <c r="B174" s="4" t="str">
        <f>"0"</f>
        <v>0</v>
      </c>
      <c r="C174" s="4" t="str">
        <f>"基金红利拨入"</f>
        <v>基金红利拨入</v>
      </c>
      <c r="D174" s="4" t="str">
        <f>"AA0007"</f>
        <v>AA0007</v>
      </c>
      <c r="E174" s="4" t="str">
        <f>"银河水星1号集合"</f>
        <v>银河水星1号集合</v>
      </c>
      <c r="F174" s="4">
        <v>0</v>
      </c>
      <c r="G174" s="4">
        <v>0</v>
      </c>
      <c r="H174" s="4">
        <v>400.97</v>
      </c>
      <c r="I174" s="4">
        <v>400.97</v>
      </c>
      <c r="J174" s="4">
        <v>407.71</v>
      </c>
      <c r="K174" s="4">
        <v>0</v>
      </c>
      <c r="L174" s="4" t="str">
        <f t="shared" si="114"/>
        <v>人民币</v>
      </c>
      <c r="N174" s="4" t="str">
        <f>"980149593788"</f>
        <v>980149593788</v>
      </c>
      <c r="O174" s="4" t="str">
        <f t="shared" si="115"/>
        <v>300100052893</v>
      </c>
    </row>
    <row r="175" spans="1:15">
      <c r="A175" s="4" t="str">
        <f t="shared" ref="A175:A177" si="144">"20180323"</f>
        <v>20180323</v>
      </c>
      <c r="B175" s="4" t="str">
        <f t="shared" ref="B175:B177" si="145">"20180323"</f>
        <v>20180323</v>
      </c>
      <c r="C175" s="4" t="str">
        <f>"基金赎回拨入"</f>
        <v>基金赎回拨入</v>
      </c>
      <c r="D175" s="4" t="str">
        <f>"AA0007"</f>
        <v>AA0007</v>
      </c>
      <c r="E175" s="4" t="str">
        <f>"银河水星1号集合"</f>
        <v>银河水星1号集合</v>
      </c>
      <c r="F175" s="4">
        <v>0</v>
      </c>
      <c r="G175" s="4">
        <v>1706</v>
      </c>
      <c r="H175" s="4">
        <v>0</v>
      </c>
      <c r="I175" s="4">
        <v>1706.35</v>
      </c>
      <c r="J175" s="4">
        <v>2114.06</v>
      </c>
      <c r="K175" s="4">
        <v>0</v>
      </c>
      <c r="L175" s="4" t="str">
        <f t="shared" si="114"/>
        <v>人民币</v>
      </c>
      <c r="N175" s="4" t="str">
        <f>"980149593788"</f>
        <v>980149593788</v>
      </c>
      <c r="O175" s="4" t="str">
        <f t="shared" si="115"/>
        <v>300100052893</v>
      </c>
    </row>
    <row r="176" spans="1:15">
      <c r="A176" s="4" t="str">
        <f t="shared" si="144"/>
        <v>20180323</v>
      </c>
      <c r="B176" s="4" t="str">
        <f t="shared" si="145"/>
        <v>20180323</v>
      </c>
      <c r="C176" s="4" t="str">
        <f>"证券买入"</f>
        <v>证券买入</v>
      </c>
      <c r="D176" s="4" t="str">
        <f>"000601"</f>
        <v>000601</v>
      </c>
      <c r="E176" s="4" t="str">
        <f>"韶能股份"</f>
        <v>韶能股份</v>
      </c>
      <c r="F176" s="4">
        <v>6.77</v>
      </c>
      <c r="G176" s="4">
        <v>1500</v>
      </c>
      <c r="H176" s="4">
        <v>10155</v>
      </c>
      <c r="I176" s="4">
        <v>-10160</v>
      </c>
      <c r="J176" s="4">
        <v>-8045.94</v>
      </c>
      <c r="K176" s="4">
        <v>23700</v>
      </c>
      <c r="L176" s="4" t="str">
        <f t="shared" si="114"/>
        <v>人民币</v>
      </c>
      <c r="M176" s="4" t="str">
        <f>"T4007262"</f>
        <v>T4007262</v>
      </c>
      <c r="N176" s="4" t="str">
        <f t="shared" ref="N176:N178" si="146">"0149593788"</f>
        <v>0149593788</v>
      </c>
      <c r="O176" s="4" t="str">
        <f t="shared" si="115"/>
        <v>300100052893</v>
      </c>
    </row>
    <row r="177" spans="1:15">
      <c r="A177" s="4" t="str">
        <f t="shared" si="144"/>
        <v>20180323</v>
      </c>
      <c r="B177" s="4" t="str">
        <f t="shared" si="145"/>
        <v>20180323</v>
      </c>
      <c r="C177" s="4" t="str">
        <f>"证券卖出"</f>
        <v>证券卖出</v>
      </c>
      <c r="D177" s="4" t="str">
        <f>"000768"</f>
        <v>000768</v>
      </c>
      <c r="E177" s="4" t="str">
        <f>"中航飞机"</f>
        <v>中航飞机</v>
      </c>
      <c r="F177" s="4">
        <v>16.12</v>
      </c>
      <c r="G177" s="4">
        <v>500</v>
      </c>
      <c r="H177" s="4">
        <v>8060</v>
      </c>
      <c r="I177" s="4">
        <v>8046.94</v>
      </c>
      <c r="J177" s="4">
        <v>1</v>
      </c>
      <c r="K177" s="4">
        <v>0</v>
      </c>
      <c r="L177" s="4" t="str">
        <f t="shared" si="114"/>
        <v>人民币</v>
      </c>
      <c r="M177" s="4" t="str">
        <f>"T4007850"</f>
        <v>T4007850</v>
      </c>
      <c r="N177" s="4" t="str">
        <f t="shared" si="146"/>
        <v>0149593788</v>
      </c>
      <c r="O177" s="4" t="str">
        <f t="shared" si="115"/>
        <v>300100052893</v>
      </c>
    </row>
    <row r="178" spans="1:15">
      <c r="A178" s="4" t="str">
        <f t="shared" ref="A178:A181" si="147">"20180329"</f>
        <v>20180329</v>
      </c>
      <c r="B178" s="4" t="str">
        <f t="shared" ref="B178:B181" si="148">"20180329"</f>
        <v>20180329</v>
      </c>
      <c r="C178" s="4" t="str">
        <f>"资管计划实时取现"</f>
        <v>资管计划实时取现</v>
      </c>
      <c r="D178" s="4" t="str">
        <f>"119931"</f>
        <v>119931</v>
      </c>
      <c r="E178" s="4" t="str">
        <f>"水星1号"</f>
        <v>水星1号</v>
      </c>
      <c r="F178" s="4">
        <v>0</v>
      </c>
      <c r="G178" s="4">
        <v>0</v>
      </c>
      <c r="H178" s="4">
        <v>100000</v>
      </c>
      <c r="I178" s="4">
        <v>100000</v>
      </c>
      <c r="J178" s="4">
        <v>100001</v>
      </c>
      <c r="K178" s="4">
        <v>0</v>
      </c>
      <c r="L178" s="4" t="str">
        <f t="shared" si="114"/>
        <v>人民币</v>
      </c>
      <c r="M178" s="4" t="str">
        <f>"T4005168"</f>
        <v>T4005168</v>
      </c>
      <c r="N178" s="4" t="str">
        <f t="shared" si="146"/>
        <v>0149593788</v>
      </c>
      <c r="O178" s="4" t="str">
        <f t="shared" si="115"/>
        <v>300100052893</v>
      </c>
    </row>
    <row r="179" spans="1:15">
      <c r="A179" s="4" t="str">
        <f t="shared" si="147"/>
        <v>20180329</v>
      </c>
      <c r="B179" s="4" t="str">
        <f t="shared" si="148"/>
        <v>20180329</v>
      </c>
      <c r="C179" s="4" t="str">
        <f>"证券转银行"</f>
        <v>证券转银行</v>
      </c>
      <c r="F179" s="4">
        <v>0</v>
      </c>
      <c r="G179" s="4">
        <v>0</v>
      </c>
      <c r="H179" s="4">
        <v>0</v>
      </c>
      <c r="I179" s="4">
        <v>-100000</v>
      </c>
      <c r="J179" s="4">
        <v>1</v>
      </c>
      <c r="K179" s="4">
        <v>0</v>
      </c>
      <c r="L179" s="4" t="str">
        <f t="shared" si="114"/>
        <v>人民币</v>
      </c>
      <c r="O179" s="4" t="str">
        <f t="shared" si="115"/>
        <v>300100052893</v>
      </c>
    </row>
    <row r="180" spans="1:15">
      <c r="A180" s="4" t="str">
        <f t="shared" si="147"/>
        <v>20180329</v>
      </c>
      <c r="B180" s="4" t="str">
        <f t="shared" si="148"/>
        <v>20180329</v>
      </c>
      <c r="C180" s="4" t="str">
        <f>"资管T0取现拨入"</f>
        <v>资管T0取现拨入</v>
      </c>
      <c r="D180" s="4" t="str">
        <f>"AA0007"</f>
        <v>AA0007</v>
      </c>
      <c r="E180" s="4" t="str">
        <f>"银河水星1号集合"</f>
        <v>银河水星1号集合</v>
      </c>
      <c r="F180" s="4">
        <v>0</v>
      </c>
      <c r="G180" s="4">
        <v>100000</v>
      </c>
      <c r="H180" s="4">
        <v>100000</v>
      </c>
      <c r="I180" s="4">
        <v>100000</v>
      </c>
      <c r="J180" s="4">
        <v>100001</v>
      </c>
      <c r="K180" s="4">
        <v>0</v>
      </c>
      <c r="L180" s="4" t="str">
        <f t="shared" si="114"/>
        <v>人民币</v>
      </c>
      <c r="N180" s="4" t="str">
        <f>"980149593788"</f>
        <v>980149593788</v>
      </c>
      <c r="O180" s="4" t="str">
        <f t="shared" si="115"/>
        <v>300100052893</v>
      </c>
    </row>
    <row r="181" spans="1:15">
      <c r="A181" s="4" t="str">
        <f t="shared" si="147"/>
        <v>20180329</v>
      </c>
      <c r="B181" s="4" t="str">
        <f t="shared" si="148"/>
        <v>20180329</v>
      </c>
      <c r="C181" s="4" t="str">
        <f>"资管计划实时取现"</f>
        <v>资管计划实时取现</v>
      </c>
      <c r="D181" s="4" t="str">
        <f>"119931"</f>
        <v>119931</v>
      </c>
      <c r="E181" s="4" t="str">
        <f>"水星1号"</f>
        <v>水星1号</v>
      </c>
      <c r="F181" s="4">
        <v>0</v>
      </c>
      <c r="G181" s="4">
        <v>0</v>
      </c>
      <c r="H181" s="4">
        <v>0</v>
      </c>
      <c r="I181" s="4">
        <v>-100000</v>
      </c>
      <c r="J181" s="4">
        <v>1</v>
      </c>
      <c r="K181" s="4">
        <v>0</v>
      </c>
      <c r="L181" s="4" t="str">
        <f t="shared" si="114"/>
        <v>人民币</v>
      </c>
      <c r="M181" s="4" t="str">
        <f>"T4005168"</f>
        <v>T4005168</v>
      </c>
      <c r="N181" s="4" t="str">
        <f>"0149593788"</f>
        <v>0149593788</v>
      </c>
      <c r="O181" s="4" t="str">
        <f t="shared" si="115"/>
        <v>300100052893</v>
      </c>
    </row>
    <row r="182" spans="1:15">
      <c r="A182" s="4" t="str">
        <f>"20180330"</f>
        <v>20180330</v>
      </c>
      <c r="B182" s="4" t="str">
        <f>"20180330"</f>
        <v>20180330</v>
      </c>
      <c r="C182" s="4" t="str">
        <f>"基金赎回拨入"</f>
        <v>基金赎回拨入</v>
      </c>
      <c r="D182" s="4" t="str">
        <f>"AA0007"</f>
        <v>AA0007</v>
      </c>
      <c r="E182" s="4" t="str">
        <f>"银河水星1号集合"</f>
        <v>银河水星1号集合</v>
      </c>
      <c r="F182" s="4">
        <v>0</v>
      </c>
      <c r="G182" s="4">
        <v>7105</v>
      </c>
      <c r="H182" s="4">
        <v>0</v>
      </c>
      <c r="I182" s="4">
        <v>7105</v>
      </c>
      <c r="J182" s="4">
        <v>7106</v>
      </c>
      <c r="K182" s="4">
        <v>0</v>
      </c>
      <c r="L182" s="4" t="str">
        <f t="shared" si="114"/>
        <v>人民币</v>
      </c>
      <c r="N182" s="4" t="str">
        <f>"980149593788"</f>
        <v>980149593788</v>
      </c>
      <c r="O182" s="4" t="str">
        <f t="shared" si="115"/>
        <v>300100052893</v>
      </c>
    </row>
    <row r="183" spans="1:15">
      <c r="A183" s="4" t="str">
        <f>"20180330"</f>
        <v>20180330</v>
      </c>
      <c r="B183" s="4" t="str">
        <f>"20180330"</f>
        <v>20180330</v>
      </c>
      <c r="C183" s="4" t="str">
        <f>"证券买入"</f>
        <v>证券买入</v>
      </c>
      <c r="D183" s="4" t="str">
        <f>"150182"</f>
        <v>150182</v>
      </c>
      <c r="E183" s="4" t="str">
        <f>"军工B"</f>
        <v>军工B</v>
      </c>
      <c r="F183" s="4">
        <v>0.71</v>
      </c>
      <c r="G183" s="4">
        <v>10000</v>
      </c>
      <c r="H183" s="4">
        <v>7100</v>
      </c>
      <c r="I183" s="4">
        <v>-7105</v>
      </c>
      <c r="J183" s="4">
        <v>1</v>
      </c>
      <c r="K183" s="4">
        <v>10000</v>
      </c>
      <c r="L183" s="4" t="str">
        <f t="shared" si="114"/>
        <v>人民币</v>
      </c>
      <c r="M183" s="4" t="str">
        <f>"T4003796"</f>
        <v>T4003796</v>
      </c>
      <c r="N183" s="4" t="str">
        <f>"0149593788"</f>
        <v>0149593788</v>
      </c>
      <c r="O183" s="4" t="str">
        <f t="shared" si="115"/>
        <v>300100052893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opLeftCell="A16" workbookViewId="0">
      <selection activeCell="A2" sqref="A2:K34"/>
    </sheetView>
  </sheetViews>
  <sheetFormatPr defaultColWidth="9" defaultRowHeight="13.5"/>
  <cols>
    <col min="1" max="16384" width="9" style="4"/>
  </cols>
  <sheetData>
    <row r="1" spans="1:15">
      <c r="A1" s="4" t="str">
        <f>"购买日期"</f>
        <v>购买日期</v>
      </c>
      <c r="B1" s="4" t="str">
        <f>"委托日期"</f>
        <v>委托日期</v>
      </c>
      <c r="C1" s="4" t="str">
        <f>"业务类型"</f>
        <v>业务类型</v>
      </c>
      <c r="D1" s="4" t="str">
        <f>"证券代码"</f>
        <v>证券代码</v>
      </c>
      <c r="E1" s="4" t="str">
        <f>"证券名称"</f>
        <v>证券名称</v>
      </c>
      <c r="F1" s="4" t="str">
        <f>"成交价格"</f>
        <v>成交价格</v>
      </c>
      <c r="G1" s="4" t="str">
        <f>"成交数量"</f>
        <v>成交数量</v>
      </c>
      <c r="H1" s="4" t="str">
        <f>"成交金额"</f>
        <v>成交金额</v>
      </c>
      <c r="I1" s="4" t="str">
        <f>"发生金额"</f>
        <v>发生金额</v>
      </c>
      <c r="J1" s="4" t="str">
        <f>"资金余额"</f>
        <v>资金余额</v>
      </c>
      <c r="K1" s="4" t="str">
        <f>"当前持仓"</f>
        <v>当前持仓</v>
      </c>
      <c r="L1" s="4" t="str">
        <f>"币种"</f>
        <v>币种</v>
      </c>
      <c r="M1" s="4" t="str">
        <f>"协议编号"</f>
        <v>协议编号</v>
      </c>
      <c r="N1" s="4" t="str">
        <f>"股东代码"</f>
        <v>股东代码</v>
      </c>
      <c r="O1" s="4" t="str">
        <f>"产品账号"</f>
        <v>产品账号</v>
      </c>
    </row>
    <row r="2" spans="1:15">
      <c r="A2" s="4" t="str">
        <f>"20180402"</f>
        <v>20180402</v>
      </c>
      <c r="B2" s="4" t="str">
        <f>"20180402"</f>
        <v>20180402</v>
      </c>
      <c r="C2" s="4" t="str">
        <f>"基金申购拨出"</f>
        <v>基金申购拨出</v>
      </c>
      <c r="D2" s="4" t="str">
        <f t="shared" ref="D2:D6" si="0">"AA0007"</f>
        <v>AA0007</v>
      </c>
      <c r="E2" s="4" t="str">
        <f t="shared" ref="E2:E6" si="1">"银河水星1号集合"</f>
        <v>银河水星1号集合</v>
      </c>
      <c r="F2" s="4">
        <v>0</v>
      </c>
      <c r="G2" s="4">
        <v>0</v>
      </c>
      <c r="H2" s="4">
        <v>0</v>
      </c>
      <c r="I2" s="4">
        <v>-7695</v>
      </c>
      <c r="J2" s="4">
        <v>-7694</v>
      </c>
      <c r="K2" s="4">
        <v>0</v>
      </c>
      <c r="L2" s="4" t="str">
        <f t="shared" ref="L2:L34" si="2">"人民币"</f>
        <v>人民币</v>
      </c>
      <c r="N2" s="4" t="str">
        <f t="shared" ref="N2:N6" si="3">"980149593788"</f>
        <v>980149593788</v>
      </c>
      <c r="O2" s="4" t="str">
        <f t="shared" ref="O2:O34" si="4">"300100052893"</f>
        <v>300100052893</v>
      </c>
    </row>
    <row r="3" spans="1:15">
      <c r="A3" s="4" t="str">
        <f>"20180402"</f>
        <v>20180402</v>
      </c>
      <c r="B3" s="4" t="str">
        <f>"20180402"</f>
        <v>20180402</v>
      </c>
      <c r="C3" s="4" t="str">
        <f>"证券卖出"</f>
        <v>证券卖出</v>
      </c>
      <c r="D3" s="4" t="str">
        <f t="shared" ref="D3:D7" si="5">"150182"</f>
        <v>150182</v>
      </c>
      <c r="E3" s="4" t="str">
        <f t="shared" ref="E3:E7" si="6">"军工B"</f>
        <v>军工B</v>
      </c>
      <c r="F3" s="4">
        <v>0.77</v>
      </c>
      <c r="G3" s="4">
        <v>10000</v>
      </c>
      <c r="H3" s="4">
        <v>7700</v>
      </c>
      <c r="I3" s="4">
        <v>7695</v>
      </c>
      <c r="J3" s="4">
        <v>1</v>
      </c>
      <c r="K3" s="4">
        <v>0</v>
      </c>
      <c r="L3" s="4" t="str">
        <f t="shared" si="2"/>
        <v>人民币</v>
      </c>
      <c r="M3" s="4" t="str">
        <f>"T4006171"</f>
        <v>T4006171</v>
      </c>
      <c r="N3" s="4" t="str">
        <f t="shared" ref="N3:N7" si="7">"0149593788"</f>
        <v>0149593788</v>
      </c>
      <c r="O3" s="4" t="str">
        <f t="shared" si="4"/>
        <v>300100052893</v>
      </c>
    </row>
    <row r="4" spans="1:15">
      <c r="A4" s="4" t="str">
        <f>"20180403"</f>
        <v>20180403</v>
      </c>
      <c r="B4" s="4" t="str">
        <f>"20180403"</f>
        <v>20180403</v>
      </c>
      <c r="C4" s="4" t="str">
        <f>"基金赎回拨入"</f>
        <v>基金赎回拨入</v>
      </c>
      <c r="D4" s="4" t="str">
        <f t="shared" si="0"/>
        <v>AA0007</v>
      </c>
      <c r="E4" s="4" t="str">
        <f t="shared" si="1"/>
        <v>银河水星1号集合</v>
      </c>
      <c r="F4" s="4">
        <v>0</v>
      </c>
      <c r="G4" s="4">
        <v>7265</v>
      </c>
      <c r="H4" s="4">
        <v>0</v>
      </c>
      <c r="I4" s="4">
        <v>7265</v>
      </c>
      <c r="J4" s="4">
        <v>7266</v>
      </c>
      <c r="K4" s="4">
        <v>0</v>
      </c>
      <c r="L4" s="4" t="str">
        <f t="shared" si="2"/>
        <v>人民币</v>
      </c>
      <c r="N4" s="4" t="str">
        <f t="shared" si="3"/>
        <v>980149593788</v>
      </c>
      <c r="O4" s="4" t="str">
        <f t="shared" si="4"/>
        <v>300100052893</v>
      </c>
    </row>
    <row r="5" spans="1:15">
      <c r="A5" s="4" t="str">
        <f>"20180403"</f>
        <v>20180403</v>
      </c>
      <c r="B5" s="4" t="str">
        <f>"20180403"</f>
        <v>20180403</v>
      </c>
      <c r="C5" s="4" t="str">
        <f>"证券买入"</f>
        <v>证券买入</v>
      </c>
      <c r="D5" s="4" t="str">
        <f t="shared" si="5"/>
        <v>150182</v>
      </c>
      <c r="E5" s="4" t="str">
        <f t="shared" si="6"/>
        <v>军工B</v>
      </c>
      <c r="F5" s="4">
        <v>0.726</v>
      </c>
      <c r="G5" s="4">
        <v>10000</v>
      </c>
      <c r="H5" s="4">
        <v>7260</v>
      </c>
      <c r="I5" s="4">
        <v>-7265</v>
      </c>
      <c r="J5" s="4">
        <v>1</v>
      </c>
      <c r="K5" s="4">
        <v>10000</v>
      </c>
      <c r="L5" s="4" t="str">
        <f t="shared" si="2"/>
        <v>人民币</v>
      </c>
      <c r="M5" s="4" t="str">
        <f>"T4006009"</f>
        <v>T4006009</v>
      </c>
      <c r="N5" s="4" t="str">
        <f t="shared" si="7"/>
        <v>0149593788</v>
      </c>
      <c r="O5" s="4" t="str">
        <f t="shared" si="4"/>
        <v>300100052893</v>
      </c>
    </row>
    <row r="6" spans="1:15">
      <c r="A6" s="4" t="str">
        <f>"20180404"</f>
        <v>20180404</v>
      </c>
      <c r="B6" s="4" t="str">
        <f>"20180404"</f>
        <v>20180404</v>
      </c>
      <c r="C6" s="4" t="str">
        <f>"基金申购拨出"</f>
        <v>基金申购拨出</v>
      </c>
      <c r="D6" s="4" t="str">
        <f t="shared" si="0"/>
        <v>AA0007</v>
      </c>
      <c r="E6" s="4" t="str">
        <f t="shared" si="1"/>
        <v>银河水星1号集合</v>
      </c>
      <c r="F6" s="4">
        <v>0</v>
      </c>
      <c r="G6" s="4">
        <v>0</v>
      </c>
      <c r="H6" s="4">
        <v>0</v>
      </c>
      <c r="I6" s="4">
        <v>-7795</v>
      </c>
      <c r="J6" s="4">
        <v>-7794</v>
      </c>
      <c r="K6" s="4">
        <v>0</v>
      </c>
      <c r="L6" s="4" t="str">
        <f t="shared" si="2"/>
        <v>人民币</v>
      </c>
      <c r="N6" s="4" t="str">
        <f t="shared" si="3"/>
        <v>980149593788</v>
      </c>
      <c r="O6" s="4" t="str">
        <f t="shared" si="4"/>
        <v>300100052893</v>
      </c>
    </row>
    <row r="7" spans="1:15">
      <c r="A7" s="4" t="str">
        <f>"20180404"</f>
        <v>20180404</v>
      </c>
      <c r="B7" s="4" t="str">
        <f>"20180404"</f>
        <v>20180404</v>
      </c>
      <c r="C7" s="4" t="str">
        <f>"证券卖出"</f>
        <v>证券卖出</v>
      </c>
      <c r="D7" s="4" t="str">
        <f t="shared" si="5"/>
        <v>150182</v>
      </c>
      <c r="E7" s="4" t="str">
        <f t="shared" si="6"/>
        <v>军工B</v>
      </c>
      <c r="F7" s="4">
        <v>0.78</v>
      </c>
      <c r="G7" s="4">
        <v>10000</v>
      </c>
      <c r="H7" s="4">
        <v>7800</v>
      </c>
      <c r="I7" s="4">
        <v>7795</v>
      </c>
      <c r="J7" s="4">
        <v>1</v>
      </c>
      <c r="K7" s="4">
        <v>0</v>
      </c>
      <c r="L7" s="4" t="str">
        <f t="shared" si="2"/>
        <v>人民币</v>
      </c>
      <c r="M7" s="4" t="str">
        <f>"T4002935"</f>
        <v>T4002935</v>
      </c>
      <c r="N7" s="4" t="str">
        <f t="shared" si="7"/>
        <v>0149593788</v>
      </c>
      <c r="O7" s="4" t="str">
        <f t="shared" si="4"/>
        <v>300100052893</v>
      </c>
    </row>
    <row r="8" spans="1:15">
      <c r="A8" s="4" t="str">
        <f>"20180417"</f>
        <v>20180417</v>
      </c>
      <c r="B8" s="4" t="str">
        <f>"20180417"</f>
        <v>20180417</v>
      </c>
      <c r="C8" s="4" t="str">
        <f>"基金赎回拨入"</f>
        <v>基金赎回拨入</v>
      </c>
      <c r="D8" s="4" t="str">
        <f>"AA0007"</f>
        <v>AA0007</v>
      </c>
      <c r="E8" s="4" t="str">
        <f>"银河水星1号集合"</f>
        <v>银河水星1号集合</v>
      </c>
      <c r="F8" s="4">
        <v>0</v>
      </c>
      <c r="G8" s="4">
        <v>9755</v>
      </c>
      <c r="H8" s="4">
        <v>0</v>
      </c>
      <c r="I8" s="4">
        <v>9755</v>
      </c>
      <c r="J8" s="4">
        <v>9756</v>
      </c>
      <c r="K8" s="4">
        <v>0</v>
      </c>
      <c r="L8" s="4" t="str">
        <f t="shared" si="2"/>
        <v>人民币</v>
      </c>
      <c r="N8" s="4" t="str">
        <f>"980149593788"</f>
        <v>980149593788</v>
      </c>
      <c r="O8" s="4" t="str">
        <f t="shared" si="4"/>
        <v>300100052893</v>
      </c>
    </row>
    <row r="9" spans="1:15">
      <c r="A9" s="4" t="str">
        <f>"20180417"</f>
        <v>20180417</v>
      </c>
      <c r="B9" s="4" t="str">
        <f>"20180417"</f>
        <v>20180417</v>
      </c>
      <c r="C9" s="4" t="str">
        <f>"证券买入"</f>
        <v>证券买入</v>
      </c>
      <c r="D9" s="4" t="str">
        <f>"000601"</f>
        <v>000601</v>
      </c>
      <c r="E9" s="4" t="str">
        <f>"韶能股份"</f>
        <v>韶能股份</v>
      </c>
      <c r="F9" s="4">
        <v>6.5</v>
      </c>
      <c r="G9" s="4">
        <v>1500</v>
      </c>
      <c r="H9" s="4">
        <v>9750</v>
      </c>
      <c r="I9" s="4">
        <v>-9755</v>
      </c>
      <c r="J9" s="4">
        <v>1</v>
      </c>
      <c r="K9" s="4">
        <v>25200</v>
      </c>
      <c r="L9" s="4" t="str">
        <f t="shared" si="2"/>
        <v>人民币</v>
      </c>
      <c r="M9" s="4" t="str">
        <f>"T4004773"</f>
        <v>T4004773</v>
      </c>
      <c r="N9" s="4" t="str">
        <f>"0149593788"</f>
        <v>0149593788</v>
      </c>
      <c r="O9" s="4" t="str">
        <f t="shared" si="4"/>
        <v>300100052893</v>
      </c>
    </row>
    <row r="10" spans="1:15">
      <c r="A10" s="4" t="str">
        <f t="shared" ref="A10:A12" si="8">"20180423"</f>
        <v>20180423</v>
      </c>
      <c r="B10" s="4" t="str">
        <f t="shared" ref="B10:B14" si="9">"20180423"</f>
        <v>20180423</v>
      </c>
      <c r="C10" s="4" t="str">
        <f>"银行转证券"</f>
        <v>银行转证券</v>
      </c>
      <c r="F10" s="4">
        <v>0</v>
      </c>
      <c r="G10" s="4">
        <v>0</v>
      </c>
      <c r="H10" s="4">
        <v>0</v>
      </c>
      <c r="I10" s="4">
        <v>160000</v>
      </c>
      <c r="J10" s="4">
        <v>160001</v>
      </c>
      <c r="K10" s="4">
        <v>0</v>
      </c>
      <c r="L10" s="4" t="str">
        <f t="shared" si="2"/>
        <v>人民币</v>
      </c>
      <c r="O10" s="4" t="str">
        <f t="shared" si="4"/>
        <v>300100052893</v>
      </c>
    </row>
    <row r="11" spans="1:15">
      <c r="A11" s="4" t="str">
        <f t="shared" si="8"/>
        <v>20180423</v>
      </c>
      <c r="B11" s="4" t="str">
        <f t="shared" si="9"/>
        <v>20180423</v>
      </c>
      <c r="C11" s="4" t="str">
        <f>"基金赎回拨入"</f>
        <v>基金赎回拨入</v>
      </c>
      <c r="D11" s="4" t="str">
        <f>"AA0007"</f>
        <v>AA0007</v>
      </c>
      <c r="E11" s="4" t="str">
        <f>"银河水星1号集合"</f>
        <v>银河水星1号集合</v>
      </c>
      <c r="F11" s="4">
        <v>0</v>
      </c>
      <c r="G11" s="4">
        <v>30478</v>
      </c>
      <c r="H11" s="4">
        <v>0</v>
      </c>
      <c r="I11" s="4">
        <v>30478.19</v>
      </c>
      <c r="J11" s="4">
        <v>190479.19</v>
      </c>
      <c r="K11" s="4">
        <v>0</v>
      </c>
      <c r="L11" s="4" t="str">
        <f t="shared" si="2"/>
        <v>人民币</v>
      </c>
      <c r="N11" s="4" t="str">
        <f>"980149593788"</f>
        <v>980149593788</v>
      </c>
      <c r="O11" s="4" t="str">
        <f t="shared" si="4"/>
        <v>300100052893</v>
      </c>
    </row>
    <row r="12" spans="1:15">
      <c r="A12" s="4" t="str">
        <f t="shared" si="8"/>
        <v>20180423</v>
      </c>
      <c r="B12" s="4" t="str">
        <f t="shared" si="9"/>
        <v>20180423</v>
      </c>
      <c r="C12" s="4" t="str">
        <f>"证券买入"</f>
        <v>证券买入</v>
      </c>
      <c r="D12" s="4" t="str">
        <f>"511990"</f>
        <v>511990</v>
      </c>
      <c r="E12" s="4" t="str">
        <f>"华宝添益"</f>
        <v>华宝添益</v>
      </c>
      <c r="F12" s="4">
        <v>99.937</v>
      </c>
      <c r="G12" s="4">
        <v>1900</v>
      </c>
      <c r="H12" s="4">
        <v>189880.3</v>
      </c>
      <c r="I12" s="4">
        <v>-189880.3</v>
      </c>
      <c r="J12" s="4">
        <v>598.89</v>
      </c>
      <c r="K12" s="4">
        <v>1900</v>
      </c>
      <c r="L12" s="4" t="str">
        <f t="shared" si="2"/>
        <v>人民币</v>
      </c>
      <c r="M12" s="4" t="str">
        <f>"0136002777"</f>
        <v>0136002777</v>
      </c>
      <c r="N12" s="4" t="str">
        <f t="shared" ref="N12:N14" si="10">"A368402599"</f>
        <v>A368402599</v>
      </c>
      <c r="O12" s="4" t="str">
        <f t="shared" si="4"/>
        <v>300100052893</v>
      </c>
    </row>
    <row r="13" spans="1:15">
      <c r="A13" s="4" t="str">
        <f>"20180424"</f>
        <v>20180424</v>
      </c>
      <c r="B13" s="4" t="str">
        <f t="shared" si="9"/>
        <v>20180423</v>
      </c>
      <c r="C13" s="4" t="str">
        <f>"ETF 基金赎回"</f>
        <v>ETF 基金赎回</v>
      </c>
      <c r="D13" s="4" t="str">
        <f>"511991"</f>
        <v>511991</v>
      </c>
      <c r="E13" s="4" t="str">
        <f>"添益申赎"</f>
        <v>添益申赎</v>
      </c>
      <c r="F13" s="4">
        <v>0</v>
      </c>
      <c r="G13" s="4">
        <v>1900</v>
      </c>
      <c r="H13" s="4">
        <v>0</v>
      </c>
      <c r="I13" s="4">
        <v>0</v>
      </c>
      <c r="J13" s="4">
        <v>598.89</v>
      </c>
      <c r="K13" s="4">
        <v>0</v>
      </c>
      <c r="L13" s="4" t="str">
        <f t="shared" si="2"/>
        <v>人民币</v>
      </c>
      <c r="M13" s="4" t="str">
        <f>"0136002792"</f>
        <v>0136002792</v>
      </c>
      <c r="N13" s="4" t="str">
        <f t="shared" si="10"/>
        <v>A368402599</v>
      </c>
      <c r="O13" s="4" t="str">
        <f t="shared" si="4"/>
        <v>300100052893</v>
      </c>
    </row>
    <row r="14" spans="1:15">
      <c r="A14" s="4" t="str">
        <f>"20180424"</f>
        <v>20180424</v>
      </c>
      <c r="B14" s="4" t="str">
        <f t="shared" si="9"/>
        <v>20180423</v>
      </c>
      <c r="C14" s="4" t="str">
        <f>"ETF 申购退款"</f>
        <v>ETF 申购退款</v>
      </c>
      <c r="D14" s="4" t="str">
        <f>"511990"</f>
        <v>511990</v>
      </c>
      <c r="E14" s="4" t="str">
        <f>"华宝添益"</f>
        <v>华宝添益</v>
      </c>
      <c r="F14" s="4">
        <v>0</v>
      </c>
      <c r="G14" s="4">
        <v>0</v>
      </c>
      <c r="H14" s="4">
        <v>190019.64</v>
      </c>
      <c r="I14" s="4">
        <v>190019.64</v>
      </c>
      <c r="J14" s="4">
        <v>190618.53</v>
      </c>
      <c r="K14" s="4">
        <v>0</v>
      </c>
      <c r="L14" s="4" t="str">
        <f t="shared" si="2"/>
        <v>人民币</v>
      </c>
      <c r="N14" s="4" t="str">
        <f t="shared" si="10"/>
        <v>A368402599</v>
      </c>
      <c r="O14" s="4" t="str">
        <f t="shared" si="4"/>
        <v>300100052893</v>
      </c>
    </row>
    <row r="15" spans="1:15">
      <c r="A15" s="4" t="str">
        <f>"20180425"</f>
        <v>20180425</v>
      </c>
      <c r="B15" s="4" t="str">
        <f>"20180425"</f>
        <v>20180425</v>
      </c>
      <c r="C15" s="4" t="str">
        <f>"证券转银行"</f>
        <v>证券转银行</v>
      </c>
      <c r="F15" s="4">
        <v>0</v>
      </c>
      <c r="G15" s="4">
        <v>0</v>
      </c>
      <c r="H15" s="4">
        <v>0</v>
      </c>
      <c r="I15" s="4">
        <v>-160000</v>
      </c>
      <c r="J15" s="4">
        <v>30618.53</v>
      </c>
      <c r="K15" s="4">
        <v>0</v>
      </c>
      <c r="L15" s="4" t="str">
        <f t="shared" si="2"/>
        <v>人民币</v>
      </c>
      <c r="O15" s="4" t="str">
        <f t="shared" si="4"/>
        <v>300100052893</v>
      </c>
    </row>
    <row r="16" spans="1:15">
      <c r="A16" s="4" t="str">
        <f>"20180425"</f>
        <v>20180425</v>
      </c>
      <c r="B16" s="4" t="str">
        <f>"20180425"</f>
        <v>20180425</v>
      </c>
      <c r="C16" s="4" t="str">
        <f>"基金申购拨出"</f>
        <v>基金申购拨出</v>
      </c>
      <c r="D16" s="4" t="str">
        <f t="shared" ref="D16:D19" si="11">"AA0007"</f>
        <v>AA0007</v>
      </c>
      <c r="E16" s="4" t="str">
        <f t="shared" ref="E16:E19" si="12">"银河水星1号集合"</f>
        <v>银河水星1号集合</v>
      </c>
      <c r="F16" s="4">
        <v>0</v>
      </c>
      <c r="G16" s="4">
        <v>0</v>
      </c>
      <c r="H16" s="4">
        <v>0</v>
      </c>
      <c r="I16" s="4">
        <v>-30618.53</v>
      </c>
      <c r="J16" s="4">
        <v>0</v>
      </c>
      <c r="K16" s="4">
        <v>0</v>
      </c>
      <c r="L16" s="4" t="str">
        <f t="shared" si="2"/>
        <v>人民币</v>
      </c>
      <c r="N16" s="4" t="str">
        <f t="shared" ref="N16:N19" si="13">"980149593788"</f>
        <v>980149593788</v>
      </c>
      <c r="O16" s="4" t="str">
        <f t="shared" si="4"/>
        <v>300100052893</v>
      </c>
    </row>
    <row r="17" spans="1:15">
      <c r="A17" s="4" t="str">
        <f>"20180426"</f>
        <v>20180426</v>
      </c>
      <c r="B17" s="4" t="str">
        <f>"20180426"</f>
        <v>20180426</v>
      </c>
      <c r="C17" s="4" t="str">
        <f t="shared" ref="C17:C22" si="14">"基金赎回拨入"</f>
        <v>基金赎回拨入</v>
      </c>
      <c r="D17" s="4" t="str">
        <f t="shared" si="11"/>
        <v>AA0007</v>
      </c>
      <c r="E17" s="4" t="str">
        <f t="shared" si="12"/>
        <v>银河水星1号集合</v>
      </c>
      <c r="F17" s="4">
        <v>0</v>
      </c>
      <c r="G17" s="4">
        <v>9456</v>
      </c>
      <c r="H17" s="4">
        <v>0</v>
      </c>
      <c r="I17" s="4">
        <v>9456</v>
      </c>
      <c r="J17" s="4">
        <v>9456</v>
      </c>
      <c r="K17" s="4">
        <v>0</v>
      </c>
      <c r="L17" s="4" t="str">
        <f t="shared" si="2"/>
        <v>人民币</v>
      </c>
      <c r="N17" s="4" t="str">
        <f t="shared" si="13"/>
        <v>980149593788</v>
      </c>
      <c r="O17" s="4" t="str">
        <f t="shared" si="4"/>
        <v>300100052893</v>
      </c>
    </row>
    <row r="18" spans="1:15">
      <c r="A18" s="4" t="str">
        <f>"20180427"</f>
        <v>20180427</v>
      </c>
      <c r="B18" s="4" t="str">
        <f>"20180427"</f>
        <v>20180427</v>
      </c>
      <c r="C18" s="4" t="str">
        <f t="shared" ref="C18:C21" si="15">"证券买入"</f>
        <v>证券买入</v>
      </c>
      <c r="D18" s="4" t="str">
        <f>"000601"</f>
        <v>000601</v>
      </c>
      <c r="E18" s="4" t="str">
        <f>"韶能股份"</f>
        <v>韶能股份</v>
      </c>
      <c r="F18" s="4">
        <v>6.3</v>
      </c>
      <c r="G18" s="4">
        <v>1500</v>
      </c>
      <c r="H18" s="4">
        <v>9450</v>
      </c>
      <c r="I18" s="4">
        <v>-9455</v>
      </c>
      <c r="J18" s="4">
        <v>1</v>
      </c>
      <c r="K18" s="4">
        <v>26700</v>
      </c>
      <c r="L18" s="4" t="str">
        <f t="shared" si="2"/>
        <v>人民币</v>
      </c>
      <c r="M18" s="4" t="str">
        <f>"T4000232"</f>
        <v>T4000232</v>
      </c>
      <c r="N18" s="4" t="str">
        <f t="shared" ref="N18:N21" si="16">"0149593788"</f>
        <v>0149593788</v>
      </c>
      <c r="O18" s="4" t="str">
        <f t="shared" si="4"/>
        <v>300100052893</v>
      </c>
    </row>
    <row r="19" spans="1:15">
      <c r="A19" s="4" t="str">
        <f t="shared" ref="A19:A21" si="17">"20180601"</f>
        <v>20180601</v>
      </c>
      <c r="B19" s="4" t="str">
        <f t="shared" ref="B19:B21" si="18">"20180601"</f>
        <v>20180601</v>
      </c>
      <c r="C19" s="4" t="str">
        <f t="shared" si="14"/>
        <v>基金赎回拨入</v>
      </c>
      <c r="D19" s="4" t="str">
        <f t="shared" si="11"/>
        <v>AA0007</v>
      </c>
      <c r="E19" s="4" t="str">
        <f t="shared" si="12"/>
        <v>银河水星1号集合</v>
      </c>
      <c r="F19" s="4">
        <v>0</v>
      </c>
      <c r="G19" s="4">
        <v>17550</v>
      </c>
      <c r="H19" s="4">
        <v>0</v>
      </c>
      <c r="I19" s="4">
        <v>17550</v>
      </c>
      <c r="J19" s="4">
        <v>17551</v>
      </c>
      <c r="K19" s="4">
        <v>0</v>
      </c>
      <c r="L19" s="4" t="str">
        <f t="shared" si="2"/>
        <v>人民币</v>
      </c>
      <c r="N19" s="4" t="str">
        <f t="shared" si="13"/>
        <v>980149593788</v>
      </c>
      <c r="O19" s="4" t="str">
        <f t="shared" si="4"/>
        <v>300100052893</v>
      </c>
    </row>
    <row r="20" spans="1:15">
      <c r="A20" s="4" t="str">
        <f t="shared" si="17"/>
        <v>20180601</v>
      </c>
      <c r="B20" s="4" t="str">
        <f t="shared" si="18"/>
        <v>20180601</v>
      </c>
      <c r="C20" s="4" t="str">
        <f t="shared" si="15"/>
        <v>证券买入</v>
      </c>
      <c r="D20" s="4" t="str">
        <f>"000768"</f>
        <v>000768</v>
      </c>
      <c r="E20" s="4" t="str">
        <f>"中航飞机"</f>
        <v>中航飞机</v>
      </c>
      <c r="F20" s="4">
        <v>15.6</v>
      </c>
      <c r="G20" s="4">
        <v>500</v>
      </c>
      <c r="H20" s="4">
        <v>7800</v>
      </c>
      <c r="I20" s="4">
        <v>-7805</v>
      </c>
      <c r="J20" s="4">
        <v>9746</v>
      </c>
      <c r="K20" s="4">
        <v>500</v>
      </c>
      <c r="L20" s="4" t="str">
        <f t="shared" si="2"/>
        <v>人民币</v>
      </c>
      <c r="M20" s="4" t="str">
        <f>"T4000437"</f>
        <v>T4000437</v>
      </c>
      <c r="N20" s="4" t="str">
        <f t="shared" si="16"/>
        <v>0149593788</v>
      </c>
      <c r="O20" s="4" t="str">
        <f t="shared" si="4"/>
        <v>300100052893</v>
      </c>
    </row>
    <row r="21" spans="1:15">
      <c r="A21" s="4" t="str">
        <f t="shared" si="17"/>
        <v>20180601</v>
      </c>
      <c r="B21" s="4" t="str">
        <f t="shared" si="18"/>
        <v>20180601</v>
      </c>
      <c r="C21" s="4" t="str">
        <f t="shared" si="15"/>
        <v>证券买入</v>
      </c>
      <c r="D21" s="4" t="str">
        <f>"150153"</f>
        <v>150153</v>
      </c>
      <c r="E21" s="4" t="str">
        <f>"创业板B"</f>
        <v>创业板B</v>
      </c>
      <c r="F21" s="4">
        <v>0.487</v>
      </c>
      <c r="G21" s="4">
        <v>20000</v>
      </c>
      <c r="H21" s="4">
        <v>9740</v>
      </c>
      <c r="I21" s="4">
        <v>-9745</v>
      </c>
      <c r="J21" s="4">
        <v>1</v>
      </c>
      <c r="K21" s="4">
        <v>20000</v>
      </c>
      <c r="L21" s="4" t="str">
        <f t="shared" si="2"/>
        <v>人民币</v>
      </c>
      <c r="M21" s="4" t="str">
        <f>"T4004245"</f>
        <v>T4004245</v>
      </c>
      <c r="N21" s="4" t="str">
        <f t="shared" si="16"/>
        <v>0149593788</v>
      </c>
      <c r="O21" s="4" t="str">
        <f t="shared" si="4"/>
        <v>300100052893</v>
      </c>
    </row>
    <row r="22" spans="1:15">
      <c r="A22" s="4" t="str">
        <f t="shared" ref="A22:A24" si="19">"20180605"</f>
        <v>20180605</v>
      </c>
      <c r="B22" s="4" t="str">
        <f t="shared" ref="B22:B24" si="20">"20180605"</f>
        <v>20180605</v>
      </c>
      <c r="C22" s="4" t="str">
        <f t="shared" si="14"/>
        <v>基金赎回拨入</v>
      </c>
      <c r="D22" s="4" t="str">
        <f t="shared" ref="D22:D27" si="21">"AA0007"</f>
        <v>AA0007</v>
      </c>
      <c r="E22" s="4" t="str">
        <f t="shared" ref="E22:E27" si="22">"银河水星1号集合"</f>
        <v>银河水星1号集合</v>
      </c>
      <c r="F22" s="4">
        <v>0</v>
      </c>
      <c r="G22" s="4">
        <v>3612</v>
      </c>
      <c r="H22" s="4">
        <v>0</v>
      </c>
      <c r="I22" s="4">
        <v>3612.53</v>
      </c>
      <c r="J22" s="4">
        <v>3613.53</v>
      </c>
      <c r="K22" s="4">
        <v>0</v>
      </c>
      <c r="L22" s="4" t="str">
        <f t="shared" si="2"/>
        <v>人民币</v>
      </c>
      <c r="N22" s="4" t="str">
        <f t="shared" ref="N22:N27" si="23">"980149593788"</f>
        <v>980149593788</v>
      </c>
      <c r="O22" s="4" t="str">
        <f t="shared" si="4"/>
        <v>300100052893</v>
      </c>
    </row>
    <row r="23" spans="1:15">
      <c r="A23" s="4" t="str">
        <f t="shared" si="19"/>
        <v>20180605</v>
      </c>
      <c r="B23" s="4" t="str">
        <f t="shared" si="20"/>
        <v>20180605</v>
      </c>
      <c r="C23" s="4" t="str">
        <f>"证券卖出"</f>
        <v>证券卖出</v>
      </c>
      <c r="D23" s="4" t="str">
        <f>"150153"</f>
        <v>150153</v>
      </c>
      <c r="E23" s="4" t="str">
        <f>"创业板B"</f>
        <v>创业板B</v>
      </c>
      <c r="F23" s="4">
        <v>0.518</v>
      </c>
      <c r="G23" s="4">
        <v>20000</v>
      </c>
      <c r="H23" s="4">
        <v>10360</v>
      </c>
      <c r="I23" s="4">
        <v>10355</v>
      </c>
      <c r="J23" s="4">
        <v>13968.53</v>
      </c>
      <c r="K23" s="4">
        <v>0</v>
      </c>
      <c r="L23" s="4" t="str">
        <f t="shared" si="2"/>
        <v>人民币</v>
      </c>
      <c r="M23" s="4" t="str">
        <f>"T4004862"</f>
        <v>T4004862</v>
      </c>
      <c r="N23" s="4" t="str">
        <f t="shared" ref="N23:N26" si="24">"0149593788"</f>
        <v>0149593788</v>
      </c>
      <c r="O23" s="4" t="str">
        <f t="shared" si="4"/>
        <v>300100052893</v>
      </c>
    </row>
    <row r="24" spans="1:15">
      <c r="A24" s="4" t="str">
        <f t="shared" si="19"/>
        <v>20180605</v>
      </c>
      <c r="B24" s="4" t="str">
        <f t="shared" si="20"/>
        <v>20180605</v>
      </c>
      <c r="C24" s="4" t="str">
        <f>"证券买入"</f>
        <v>证券买入</v>
      </c>
      <c r="D24" s="4" t="str">
        <f>"000601"</f>
        <v>000601</v>
      </c>
      <c r="E24" s="4" t="str">
        <f>"韶能股份"</f>
        <v>韶能股份</v>
      </c>
      <c r="F24" s="4">
        <v>6.02</v>
      </c>
      <c r="G24" s="4">
        <v>2300</v>
      </c>
      <c r="H24" s="4">
        <v>13846</v>
      </c>
      <c r="I24" s="4">
        <v>-13851</v>
      </c>
      <c r="J24" s="4">
        <v>117.53</v>
      </c>
      <c r="K24" s="4">
        <v>29000</v>
      </c>
      <c r="L24" s="4" t="str">
        <f t="shared" si="2"/>
        <v>人民币</v>
      </c>
      <c r="M24" s="4" t="str">
        <f>"T4005324"</f>
        <v>T4005324</v>
      </c>
      <c r="N24" s="4" t="str">
        <f t="shared" si="24"/>
        <v>0149593788</v>
      </c>
      <c r="O24" s="4" t="str">
        <f t="shared" si="4"/>
        <v>300100052893</v>
      </c>
    </row>
    <row r="25" spans="1:15">
      <c r="A25" s="4" t="str">
        <f>"20180606"</f>
        <v>20180606</v>
      </c>
      <c r="B25" s="4" t="str">
        <f>"20180606"</f>
        <v>20180606</v>
      </c>
      <c r="C25" s="4" t="str">
        <f>"基金申购拨出"</f>
        <v>基金申购拨出</v>
      </c>
      <c r="D25" s="4" t="str">
        <f t="shared" si="21"/>
        <v>AA0007</v>
      </c>
      <c r="E25" s="4" t="str">
        <f t="shared" si="22"/>
        <v>银河水星1号集合</v>
      </c>
      <c r="F25" s="4">
        <v>0</v>
      </c>
      <c r="G25" s="4">
        <v>0</v>
      </c>
      <c r="H25" s="4">
        <v>0</v>
      </c>
      <c r="I25" s="4">
        <v>-8178.45</v>
      </c>
      <c r="J25" s="4">
        <v>-8060.92</v>
      </c>
      <c r="K25" s="4">
        <v>0</v>
      </c>
      <c r="L25" s="4" t="str">
        <f t="shared" si="2"/>
        <v>人民币</v>
      </c>
      <c r="N25" s="4" t="str">
        <f t="shared" si="23"/>
        <v>980149593788</v>
      </c>
      <c r="O25" s="4" t="str">
        <f t="shared" si="4"/>
        <v>300100052893</v>
      </c>
    </row>
    <row r="26" spans="1:15">
      <c r="A26" s="4" t="str">
        <f>"20180606"</f>
        <v>20180606</v>
      </c>
      <c r="B26" s="4" t="str">
        <f>"20180606"</f>
        <v>20180606</v>
      </c>
      <c r="C26" s="4" t="str">
        <f>"证券卖出"</f>
        <v>证券卖出</v>
      </c>
      <c r="D26" s="4" t="str">
        <f>"000768"</f>
        <v>000768</v>
      </c>
      <c r="E26" s="4" t="str">
        <f>"中航飞机"</f>
        <v>中航飞机</v>
      </c>
      <c r="F26" s="4">
        <v>16.15</v>
      </c>
      <c r="G26" s="4">
        <v>500</v>
      </c>
      <c r="H26" s="4">
        <v>8075</v>
      </c>
      <c r="I26" s="4">
        <v>8061.92</v>
      </c>
      <c r="J26" s="4">
        <v>1</v>
      </c>
      <c r="K26" s="4">
        <v>0</v>
      </c>
      <c r="L26" s="4" t="str">
        <f t="shared" si="2"/>
        <v>人民币</v>
      </c>
      <c r="M26" s="4" t="str">
        <f>"T4004273"</f>
        <v>T4004273</v>
      </c>
      <c r="N26" s="4" t="str">
        <f t="shared" si="24"/>
        <v>0149593788</v>
      </c>
      <c r="O26" s="4" t="str">
        <f t="shared" si="4"/>
        <v>300100052893</v>
      </c>
    </row>
    <row r="27" spans="1:15">
      <c r="A27" s="4" t="str">
        <f>"20180607"</f>
        <v>20180607</v>
      </c>
      <c r="B27" s="4" t="str">
        <f>"20180607"</f>
        <v>20180607</v>
      </c>
      <c r="C27" s="4" t="str">
        <f>"基金赎回拨入"</f>
        <v>基金赎回拨入</v>
      </c>
      <c r="D27" s="4" t="str">
        <f t="shared" si="21"/>
        <v>AA0007</v>
      </c>
      <c r="E27" s="4" t="str">
        <f t="shared" si="22"/>
        <v>银河水星1号集合</v>
      </c>
      <c r="F27" s="4">
        <v>0</v>
      </c>
      <c r="G27" s="4">
        <v>5155</v>
      </c>
      <c r="H27" s="4">
        <v>0</v>
      </c>
      <c r="I27" s="4">
        <v>5155</v>
      </c>
      <c r="J27" s="4">
        <v>5156</v>
      </c>
      <c r="K27" s="4">
        <v>0</v>
      </c>
      <c r="L27" s="4" t="str">
        <f t="shared" si="2"/>
        <v>人民币</v>
      </c>
      <c r="N27" s="4" t="str">
        <f t="shared" si="23"/>
        <v>980149593788</v>
      </c>
      <c r="O27" s="4" t="str">
        <f t="shared" si="4"/>
        <v>300100052893</v>
      </c>
    </row>
    <row r="28" spans="1:15">
      <c r="A28" s="4" t="str">
        <f>"20180607"</f>
        <v>20180607</v>
      </c>
      <c r="B28" s="4" t="str">
        <f>"20180607"</f>
        <v>20180607</v>
      </c>
      <c r="C28" s="4" t="str">
        <f>"证券买入"</f>
        <v>证券买入</v>
      </c>
      <c r="D28" s="4" t="str">
        <f>"150153"</f>
        <v>150153</v>
      </c>
      <c r="E28" s="4" t="str">
        <f>"创业板B"</f>
        <v>创业板B</v>
      </c>
      <c r="F28" s="4">
        <v>0.515</v>
      </c>
      <c r="G28" s="4">
        <v>10000</v>
      </c>
      <c r="H28" s="4">
        <v>5150</v>
      </c>
      <c r="I28" s="4">
        <v>-5155</v>
      </c>
      <c r="J28" s="4">
        <v>1</v>
      </c>
      <c r="K28" s="4">
        <v>10000</v>
      </c>
      <c r="L28" s="4" t="str">
        <f t="shared" si="2"/>
        <v>人民币</v>
      </c>
      <c r="M28" s="4" t="str">
        <f>"T4002382"</f>
        <v>T4002382</v>
      </c>
      <c r="N28" s="4" t="str">
        <f>"0149593788"</f>
        <v>0149593788</v>
      </c>
      <c r="O28" s="4" t="str">
        <f t="shared" si="4"/>
        <v>300100052893</v>
      </c>
    </row>
    <row r="29" spans="1:15">
      <c r="A29" s="4" t="str">
        <f>"20180608"</f>
        <v>20180608</v>
      </c>
      <c r="B29" s="4" t="str">
        <f>"20180608"</f>
        <v>20180608</v>
      </c>
      <c r="C29" s="4" t="str">
        <f>"基金赎回拨入"</f>
        <v>基金赎回拨入</v>
      </c>
      <c r="D29" s="4" t="str">
        <f>"AA0007"</f>
        <v>AA0007</v>
      </c>
      <c r="E29" s="4" t="str">
        <f>"银河水星1号集合"</f>
        <v>银河水星1号集合</v>
      </c>
      <c r="F29" s="4">
        <v>0</v>
      </c>
      <c r="G29" s="4">
        <v>3023</v>
      </c>
      <c r="H29" s="4">
        <v>0</v>
      </c>
      <c r="I29" s="4">
        <v>3023.45</v>
      </c>
      <c r="J29" s="4">
        <v>3024.45</v>
      </c>
      <c r="K29" s="4">
        <v>0</v>
      </c>
      <c r="L29" s="4" t="str">
        <f t="shared" si="2"/>
        <v>人民币</v>
      </c>
      <c r="N29" s="4" t="str">
        <f>"980149593788"</f>
        <v>980149593788</v>
      </c>
      <c r="O29" s="4" t="str">
        <f t="shared" si="4"/>
        <v>300100052893</v>
      </c>
    </row>
    <row r="30" spans="1:15">
      <c r="A30" s="4" t="str">
        <f>"20180608"</f>
        <v>20180608</v>
      </c>
      <c r="B30" s="4" t="str">
        <f>"20180608"</f>
        <v>20180608</v>
      </c>
      <c r="C30" s="4" t="str">
        <f>"证券买入"</f>
        <v>证券买入</v>
      </c>
      <c r="D30" s="4" t="str">
        <f>"150153"</f>
        <v>150153</v>
      </c>
      <c r="E30" s="4" t="str">
        <f>"创业板B"</f>
        <v>创业板B</v>
      </c>
      <c r="F30" s="4">
        <v>0.497</v>
      </c>
      <c r="G30" s="4">
        <v>6000</v>
      </c>
      <c r="H30" s="4">
        <v>2982</v>
      </c>
      <c r="I30" s="4">
        <v>-2987</v>
      </c>
      <c r="J30" s="4">
        <v>37.45</v>
      </c>
      <c r="K30" s="4">
        <v>16000</v>
      </c>
      <c r="L30" s="4" t="str">
        <f t="shared" si="2"/>
        <v>人民币</v>
      </c>
      <c r="M30" s="4" t="str">
        <f>"T4004128"</f>
        <v>T4004128</v>
      </c>
      <c r="N30" s="4" t="str">
        <f>"0149593788"</f>
        <v>0149593788</v>
      </c>
      <c r="O30" s="4" t="str">
        <f t="shared" si="4"/>
        <v>300100052893</v>
      </c>
    </row>
    <row r="31" spans="1:15">
      <c r="A31" s="4" t="str">
        <f>"20180620"</f>
        <v>20180620</v>
      </c>
      <c r="B31" s="4" t="str">
        <f>"20180620"</f>
        <v>20180620</v>
      </c>
      <c r="C31" s="4" t="str">
        <f>"利息归本"</f>
        <v>利息归本</v>
      </c>
      <c r="F31" s="4">
        <v>0</v>
      </c>
      <c r="G31" s="4">
        <v>0</v>
      </c>
      <c r="H31" s="4">
        <v>0</v>
      </c>
      <c r="I31" s="4">
        <v>5.32</v>
      </c>
      <c r="J31" s="4">
        <v>42.77</v>
      </c>
      <c r="K31" s="4">
        <v>0</v>
      </c>
      <c r="L31" s="4" t="str">
        <f t="shared" si="2"/>
        <v>人民币</v>
      </c>
      <c r="O31" s="4" t="str">
        <f t="shared" si="4"/>
        <v>300100052893</v>
      </c>
    </row>
    <row r="32" spans="1:15">
      <c r="A32" s="4" t="str">
        <f>"20180621"</f>
        <v>20180621</v>
      </c>
      <c r="B32" s="4" t="str">
        <f>"0"</f>
        <v>0</v>
      </c>
      <c r="C32" s="4" t="str">
        <f>"基金红利拨入"</f>
        <v>基金红利拨入</v>
      </c>
      <c r="D32" s="4" t="str">
        <f>"AA0007"</f>
        <v>AA0007</v>
      </c>
      <c r="E32" s="4" t="str">
        <f>"银河水星1号集合"</f>
        <v>银河水星1号集合</v>
      </c>
      <c r="F32" s="4">
        <v>0</v>
      </c>
      <c r="G32" s="4">
        <v>0</v>
      </c>
      <c r="H32" s="4">
        <v>178.64</v>
      </c>
      <c r="I32" s="4">
        <v>178.64</v>
      </c>
      <c r="J32" s="4">
        <v>221.41</v>
      </c>
      <c r="K32" s="4">
        <v>0</v>
      </c>
      <c r="L32" s="4" t="str">
        <f t="shared" si="2"/>
        <v>人民币</v>
      </c>
      <c r="N32" s="4" t="str">
        <f>"980149593788"</f>
        <v>980149593788</v>
      </c>
      <c r="O32" s="4" t="str">
        <f t="shared" si="4"/>
        <v>300100052893</v>
      </c>
    </row>
    <row r="33" spans="1:15">
      <c r="A33" s="4" t="str">
        <f>"20180626"</f>
        <v>20180626</v>
      </c>
      <c r="B33" s="4" t="str">
        <f>"20180626"</f>
        <v>20180626</v>
      </c>
      <c r="C33" s="4" t="str">
        <f>"银行转证券"</f>
        <v>银行转证券</v>
      </c>
      <c r="F33" s="4">
        <v>0</v>
      </c>
      <c r="G33" s="4">
        <v>0</v>
      </c>
      <c r="H33" s="4">
        <v>0</v>
      </c>
      <c r="I33" s="4">
        <v>5030.69</v>
      </c>
      <c r="J33" s="4">
        <v>5252.1</v>
      </c>
      <c r="K33" s="4">
        <v>0</v>
      </c>
      <c r="L33" s="4" t="str">
        <f t="shared" si="2"/>
        <v>人民币</v>
      </c>
      <c r="O33" s="4" t="str">
        <f t="shared" si="4"/>
        <v>300100052893</v>
      </c>
    </row>
    <row r="34" spans="1:15">
      <c r="A34" s="4" t="str">
        <f>"20180626"</f>
        <v>20180626</v>
      </c>
      <c r="B34" s="4" t="str">
        <f>"20180626"</f>
        <v>20180626</v>
      </c>
      <c r="C34" s="4" t="str">
        <f>"证券买入"</f>
        <v>证券买入</v>
      </c>
      <c r="D34" s="4" t="str">
        <f>"000601"</f>
        <v>000601</v>
      </c>
      <c r="E34" s="4" t="str">
        <f>"韶能股份"</f>
        <v>韶能股份</v>
      </c>
      <c r="F34" s="4">
        <v>4.28</v>
      </c>
      <c r="G34" s="4">
        <v>1200</v>
      </c>
      <c r="H34" s="4">
        <v>5136</v>
      </c>
      <c r="I34" s="4">
        <v>-5141</v>
      </c>
      <c r="J34" s="4">
        <v>111.1</v>
      </c>
      <c r="K34" s="4">
        <v>30200</v>
      </c>
      <c r="L34" s="4" t="str">
        <f t="shared" si="2"/>
        <v>人民币</v>
      </c>
      <c r="M34" s="4" t="str">
        <f>"T4001192"</f>
        <v>T4001192</v>
      </c>
      <c r="N34" s="4" t="str">
        <f>"0149593788"</f>
        <v>0149593788</v>
      </c>
      <c r="O34" s="4" t="str">
        <f t="shared" si="4"/>
        <v>300100052893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workbookViewId="0">
      <selection activeCell="A2" sqref="A2:K18"/>
    </sheetView>
  </sheetViews>
  <sheetFormatPr defaultColWidth="9" defaultRowHeight="13.5"/>
  <cols>
    <col min="1" max="16384" width="9" style="4"/>
  </cols>
  <sheetData>
    <row r="1" spans="1:15">
      <c r="A1" s="4" t="str">
        <f>"购买日期"</f>
        <v>购买日期</v>
      </c>
      <c r="B1" s="4" t="str">
        <f>"委托日期"</f>
        <v>委托日期</v>
      </c>
      <c r="C1" s="4" t="str">
        <f>"业务类型"</f>
        <v>业务类型</v>
      </c>
      <c r="D1" s="4" t="str">
        <f>"证券代码"</f>
        <v>证券代码</v>
      </c>
      <c r="E1" s="4" t="str">
        <f>"证券名称"</f>
        <v>证券名称</v>
      </c>
      <c r="F1" s="4" t="str">
        <f>"成交价格"</f>
        <v>成交价格</v>
      </c>
      <c r="G1" s="4" t="str">
        <f>"成交数量"</f>
        <v>成交数量</v>
      </c>
      <c r="H1" s="4" t="str">
        <f>"成交金额"</f>
        <v>成交金额</v>
      </c>
      <c r="I1" s="4" t="str">
        <f>"发生金额"</f>
        <v>发生金额</v>
      </c>
      <c r="J1" s="4" t="str">
        <f>"资金余额"</f>
        <v>资金余额</v>
      </c>
      <c r="K1" s="4" t="str">
        <f>"当前持仓"</f>
        <v>当前持仓</v>
      </c>
      <c r="L1" s="4" t="str">
        <f>"币种"</f>
        <v>币种</v>
      </c>
      <c r="M1" s="4" t="str">
        <f>"协议编号"</f>
        <v>协议编号</v>
      </c>
      <c r="N1" s="4" t="str">
        <f>"股东代码"</f>
        <v>股东代码</v>
      </c>
      <c r="O1" s="4" t="str">
        <f>"产品账号"</f>
        <v>产品账号</v>
      </c>
    </row>
    <row r="2" spans="1:15">
      <c r="A2" s="4" t="str">
        <f>"20180702"</f>
        <v>20180702</v>
      </c>
      <c r="B2" s="4" t="str">
        <f>"20180702"</f>
        <v>20180702</v>
      </c>
      <c r="C2" s="4" t="str">
        <f>"红利入账"</f>
        <v>红利入账</v>
      </c>
      <c r="D2" s="4" t="str">
        <f>"002183"</f>
        <v>002183</v>
      </c>
      <c r="E2" s="4" t="str">
        <f>"怡 亚 通"</f>
        <v>怡 亚 通</v>
      </c>
      <c r="F2" s="4">
        <v>0</v>
      </c>
      <c r="G2" s="4">
        <v>0</v>
      </c>
      <c r="H2" s="4">
        <v>290</v>
      </c>
      <c r="I2" s="4">
        <v>290</v>
      </c>
      <c r="J2" s="4">
        <v>401.1</v>
      </c>
      <c r="K2" s="4">
        <v>0</v>
      </c>
      <c r="L2" s="4" t="str">
        <f t="shared" ref="L2:L18" si="0">"人民币"</f>
        <v>人民币</v>
      </c>
      <c r="N2" s="4" t="str">
        <f t="shared" ref="N2:N6" si="1">"0149593788"</f>
        <v>0149593788</v>
      </c>
      <c r="O2" s="4" t="str">
        <f t="shared" ref="O2:O18" si="2">"300100052893"</f>
        <v>300100052893</v>
      </c>
    </row>
    <row r="3" spans="1:15">
      <c r="A3" s="4" t="str">
        <f>"20180801"</f>
        <v>20180801</v>
      </c>
      <c r="B3" s="4" t="str">
        <f>"20180801"</f>
        <v>20180801</v>
      </c>
      <c r="C3" s="4" t="str">
        <f>"证券卖出"</f>
        <v>证券卖出</v>
      </c>
      <c r="D3" s="4" t="str">
        <f>"000601"</f>
        <v>000601</v>
      </c>
      <c r="E3" s="4" t="str">
        <f>"韶能股份"</f>
        <v>韶能股份</v>
      </c>
      <c r="F3" s="4">
        <v>5.06</v>
      </c>
      <c r="G3" s="4">
        <v>1200</v>
      </c>
      <c r="H3" s="4">
        <v>6072</v>
      </c>
      <c r="I3" s="4">
        <v>6060.93</v>
      </c>
      <c r="J3" s="4">
        <v>6462.03</v>
      </c>
      <c r="K3" s="4">
        <v>29000</v>
      </c>
      <c r="L3" s="4" t="str">
        <f t="shared" si="0"/>
        <v>人民币</v>
      </c>
      <c r="M3" s="4" t="str">
        <f>"T4004847"</f>
        <v>T4004847</v>
      </c>
      <c r="N3" s="4" t="str">
        <f t="shared" si="1"/>
        <v>0149593788</v>
      </c>
      <c r="O3" s="4" t="str">
        <f t="shared" si="2"/>
        <v>300100052893</v>
      </c>
    </row>
    <row r="4" spans="1:15">
      <c r="A4" s="4" t="str">
        <f>"20180801"</f>
        <v>20180801</v>
      </c>
      <c r="B4" s="4" t="str">
        <f>"20180801"</f>
        <v>20180801</v>
      </c>
      <c r="C4" s="4" t="str">
        <f>"证券买入"</f>
        <v>证券买入</v>
      </c>
      <c r="D4" s="4" t="str">
        <f>"150182"</f>
        <v>150182</v>
      </c>
      <c r="E4" s="4" t="str">
        <f>"军工B"</f>
        <v>军工B</v>
      </c>
      <c r="F4" s="4">
        <v>0.473</v>
      </c>
      <c r="G4" s="4">
        <v>13600</v>
      </c>
      <c r="H4" s="4">
        <v>6432.8</v>
      </c>
      <c r="I4" s="4">
        <v>-6437.8</v>
      </c>
      <c r="J4" s="4">
        <v>24.23</v>
      </c>
      <c r="K4" s="4">
        <v>13600</v>
      </c>
      <c r="L4" s="4" t="str">
        <f t="shared" si="0"/>
        <v>人民币</v>
      </c>
      <c r="M4" s="4" t="str">
        <f>"T4004926"</f>
        <v>T4004926</v>
      </c>
      <c r="N4" s="4" t="str">
        <f t="shared" si="1"/>
        <v>0149593788</v>
      </c>
      <c r="O4" s="4" t="str">
        <f t="shared" si="2"/>
        <v>300100052893</v>
      </c>
    </row>
    <row r="5" spans="1:15">
      <c r="A5" s="4" t="str">
        <f>"20180808"</f>
        <v>20180808</v>
      </c>
      <c r="B5" s="4" t="str">
        <f>"20180808"</f>
        <v>20180808</v>
      </c>
      <c r="C5" s="4" t="str">
        <f>"基金下折"</f>
        <v>基金下折</v>
      </c>
      <c r="D5" s="4" t="str">
        <f>"150153"</f>
        <v>150153</v>
      </c>
      <c r="E5" s="4" t="str">
        <f>"创业板B"</f>
        <v>创业板B</v>
      </c>
      <c r="F5" s="4">
        <v>0</v>
      </c>
      <c r="G5" s="4">
        <v>11729</v>
      </c>
      <c r="H5" s="4">
        <v>0</v>
      </c>
      <c r="I5" s="4">
        <v>0</v>
      </c>
      <c r="J5" s="4">
        <v>24.23</v>
      </c>
      <c r="K5" s="4">
        <v>4271</v>
      </c>
      <c r="L5" s="4" t="str">
        <f t="shared" si="0"/>
        <v>人民币</v>
      </c>
      <c r="N5" s="4" t="str">
        <f t="shared" si="1"/>
        <v>0149593788</v>
      </c>
      <c r="O5" s="4" t="str">
        <f t="shared" si="2"/>
        <v>300100052893</v>
      </c>
    </row>
    <row r="6" spans="1:15">
      <c r="A6" s="4" t="str">
        <f>"20180816"</f>
        <v>20180816</v>
      </c>
      <c r="B6" s="4" t="str">
        <f>"20180816"</f>
        <v>20180816</v>
      </c>
      <c r="C6" s="4" t="str">
        <f>"红利入账"</f>
        <v>红利入账</v>
      </c>
      <c r="D6" s="4" t="str">
        <f>"000601"</f>
        <v>000601</v>
      </c>
      <c r="E6" s="4" t="str">
        <f>"韶能股份"</f>
        <v>韶能股份</v>
      </c>
      <c r="F6" s="4">
        <v>0</v>
      </c>
      <c r="G6" s="4">
        <v>0</v>
      </c>
      <c r="H6" s="4">
        <v>6380</v>
      </c>
      <c r="I6" s="4">
        <v>6380</v>
      </c>
      <c r="J6" s="4">
        <v>6404.23</v>
      </c>
      <c r="K6" s="4">
        <v>0</v>
      </c>
      <c r="L6" s="4" t="str">
        <f t="shared" si="0"/>
        <v>人民币</v>
      </c>
      <c r="N6" s="4" t="str">
        <f t="shared" si="1"/>
        <v>0149593788</v>
      </c>
      <c r="O6" s="4" t="str">
        <f t="shared" si="2"/>
        <v>300100052893</v>
      </c>
    </row>
    <row r="7" spans="1:15">
      <c r="A7" s="4" t="str">
        <f>"20180817"</f>
        <v>20180817</v>
      </c>
      <c r="B7" s="4" t="str">
        <f>"20180817"</f>
        <v>20180817</v>
      </c>
      <c r="C7" s="4" t="str">
        <f>"基金申购拨出"</f>
        <v>基金申购拨出</v>
      </c>
      <c r="D7" s="4" t="str">
        <f t="shared" ref="D7:D11" si="3">"AA0007"</f>
        <v>AA0007</v>
      </c>
      <c r="E7" s="4" t="str">
        <f t="shared" ref="E7:E11" si="4">"银河水星1号集合"</f>
        <v>银河水星1号集合</v>
      </c>
      <c r="F7" s="4">
        <v>0</v>
      </c>
      <c r="G7" s="4">
        <v>0</v>
      </c>
      <c r="H7" s="4">
        <v>0</v>
      </c>
      <c r="I7" s="4">
        <v>-6404.23</v>
      </c>
      <c r="J7" s="4">
        <v>0</v>
      </c>
      <c r="K7" s="4">
        <v>0</v>
      </c>
      <c r="L7" s="4" t="str">
        <f t="shared" si="0"/>
        <v>人民币</v>
      </c>
      <c r="N7" s="4" t="str">
        <f t="shared" ref="N7:N11" si="5">"980149593788"</f>
        <v>980149593788</v>
      </c>
      <c r="O7" s="4" t="str">
        <f t="shared" si="2"/>
        <v>300100052893</v>
      </c>
    </row>
    <row r="8" spans="1:15">
      <c r="A8" s="4" t="str">
        <f>"20180821"</f>
        <v>20180821</v>
      </c>
      <c r="B8" s="4" t="str">
        <f>"20180821"</f>
        <v>20180821</v>
      </c>
      <c r="C8" s="4" t="str">
        <f>"基金赎回拨入"</f>
        <v>基金赎回拨入</v>
      </c>
      <c r="D8" s="4" t="str">
        <f t="shared" si="3"/>
        <v>AA0007</v>
      </c>
      <c r="E8" s="4" t="str">
        <f t="shared" si="4"/>
        <v>银河水星1号集合</v>
      </c>
      <c r="F8" s="4">
        <v>0</v>
      </c>
      <c r="G8" s="4">
        <v>6404</v>
      </c>
      <c r="H8" s="4">
        <v>0</v>
      </c>
      <c r="I8" s="4">
        <v>6404.23</v>
      </c>
      <c r="J8" s="4">
        <v>6404.23</v>
      </c>
      <c r="K8" s="4">
        <v>0</v>
      </c>
      <c r="L8" s="4" t="str">
        <f t="shared" si="0"/>
        <v>人民币</v>
      </c>
      <c r="N8" s="4" t="str">
        <f t="shared" si="5"/>
        <v>980149593788</v>
      </c>
      <c r="O8" s="4" t="str">
        <f t="shared" si="2"/>
        <v>300100052893</v>
      </c>
    </row>
    <row r="9" spans="1:15">
      <c r="A9" s="4" t="str">
        <f>"20180821"</f>
        <v>20180821</v>
      </c>
      <c r="B9" s="4" t="str">
        <f>"20180821"</f>
        <v>20180821</v>
      </c>
      <c r="C9" s="4" t="str">
        <f>"证券买入"</f>
        <v>证券买入</v>
      </c>
      <c r="D9" s="4" t="str">
        <f>"002183"</f>
        <v>002183</v>
      </c>
      <c r="E9" s="4" t="str">
        <f>"怡 亚 通"</f>
        <v>怡 亚 通</v>
      </c>
      <c r="F9" s="4">
        <v>6.12</v>
      </c>
      <c r="G9" s="4">
        <v>1000</v>
      </c>
      <c r="H9" s="4">
        <v>6120</v>
      </c>
      <c r="I9" s="4">
        <v>-6125</v>
      </c>
      <c r="J9" s="4">
        <v>279.23</v>
      </c>
      <c r="K9" s="4">
        <v>6000</v>
      </c>
      <c r="L9" s="4" t="str">
        <f t="shared" si="0"/>
        <v>人民币</v>
      </c>
      <c r="M9" s="4" t="str">
        <f>"T4003285"</f>
        <v>T4003285</v>
      </c>
      <c r="N9" s="4" t="str">
        <f t="shared" ref="N9:N13" si="6">"0149593788"</f>
        <v>0149593788</v>
      </c>
      <c r="O9" s="4" t="str">
        <f t="shared" si="2"/>
        <v>300100052893</v>
      </c>
    </row>
    <row r="10" spans="1:15">
      <c r="A10" s="4" t="str">
        <f>"20180903"</f>
        <v>20180903</v>
      </c>
      <c r="B10" s="4" t="str">
        <f>"20180903"</f>
        <v>20180903</v>
      </c>
      <c r="C10" s="4" t="str">
        <f>"股份转出"</f>
        <v>股份转出</v>
      </c>
      <c r="D10" s="4" t="str">
        <f>"000601"</f>
        <v>000601</v>
      </c>
      <c r="E10" s="4" t="str">
        <f>"韶能股份"</f>
        <v>韶能股份</v>
      </c>
      <c r="F10" s="4">
        <v>0</v>
      </c>
      <c r="G10" s="4">
        <v>29000</v>
      </c>
      <c r="H10" s="4">
        <v>0</v>
      </c>
      <c r="I10" s="4">
        <v>0</v>
      </c>
      <c r="J10" s="4">
        <v>279.23</v>
      </c>
      <c r="K10" s="4">
        <v>0</v>
      </c>
      <c r="L10" s="4" t="str">
        <f t="shared" si="0"/>
        <v>人民币</v>
      </c>
      <c r="M10" s="4" t="str">
        <f>"T400012900"</f>
        <v>T400012900</v>
      </c>
      <c r="N10" s="4" t="str">
        <f t="shared" si="6"/>
        <v>0149593788</v>
      </c>
      <c r="O10" s="4" t="str">
        <f t="shared" si="2"/>
        <v>300100052893</v>
      </c>
    </row>
    <row r="11" spans="1:15">
      <c r="A11" s="4" t="str">
        <f>"20180904"</f>
        <v>20180904</v>
      </c>
      <c r="B11" s="4" t="str">
        <f>"20180904"</f>
        <v>20180904</v>
      </c>
      <c r="C11" s="4" t="str">
        <f>"基金申购拨出"</f>
        <v>基金申购拨出</v>
      </c>
      <c r="D11" s="4" t="str">
        <f t="shared" si="3"/>
        <v>AA0007</v>
      </c>
      <c r="E11" s="4" t="str">
        <f t="shared" si="4"/>
        <v>银河水星1号集合</v>
      </c>
      <c r="F11" s="4">
        <v>0</v>
      </c>
      <c r="G11" s="4">
        <v>0</v>
      </c>
      <c r="H11" s="4">
        <v>0</v>
      </c>
      <c r="I11" s="4">
        <v>-6287.21</v>
      </c>
      <c r="J11" s="4">
        <v>-6007.98</v>
      </c>
      <c r="K11" s="4">
        <v>0</v>
      </c>
      <c r="L11" s="4" t="str">
        <f t="shared" si="0"/>
        <v>人民币</v>
      </c>
      <c r="N11" s="4" t="str">
        <f t="shared" si="5"/>
        <v>980149593788</v>
      </c>
      <c r="O11" s="4" t="str">
        <f t="shared" si="2"/>
        <v>300100052893</v>
      </c>
    </row>
    <row r="12" spans="1:15">
      <c r="A12" s="4" t="str">
        <f>"20180904"</f>
        <v>20180904</v>
      </c>
      <c r="B12" s="4" t="str">
        <f>"20180904"</f>
        <v>20180904</v>
      </c>
      <c r="C12" s="4" t="str">
        <f>"证券卖出"</f>
        <v>证券卖出</v>
      </c>
      <c r="D12" s="4" t="str">
        <f>"002183"</f>
        <v>002183</v>
      </c>
      <c r="E12" s="4" t="str">
        <f>"怡 亚 通"</f>
        <v>怡 亚 通</v>
      </c>
      <c r="F12" s="4">
        <v>6.02</v>
      </c>
      <c r="G12" s="4">
        <v>1000</v>
      </c>
      <c r="H12" s="4">
        <v>6020</v>
      </c>
      <c r="I12" s="4">
        <v>6008.98</v>
      </c>
      <c r="J12" s="4">
        <v>1</v>
      </c>
      <c r="K12" s="4">
        <v>5000</v>
      </c>
      <c r="L12" s="4" t="str">
        <f t="shared" si="0"/>
        <v>人民币</v>
      </c>
      <c r="M12" s="4" t="str">
        <f>"T4002926"</f>
        <v>T4002926</v>
      </c>
      <c r="N12" s="4" t="str">
        <f t="shared" si="6"/>
        <v>0149593788</v>
      </c>
      <c r="O12" s="4" t="str">
        <f t="shared" si="2"/>
        <v>300100052893</v>
      </c>
    </row>
    <row r="13" spans="1:15">
      <c r="A13" s="4" t="str">
        <f t="shared" ref="A13:A16" si="7">"20180914"</f>
        <v>20180914</v>
      </c>
      <c r="B13" s="4" t="str">
        <f t="shared" ref="B13:B16" si="8">"20180914"</f>
        <v>20180914</v>
      </c>
      <c r="C13" s="4" t="str">
        <f>"资管计划实时取现"</f>
        <v>资管计划实时取现</v>
      </c>
      <c r="D13" s="4" t="str">
        <f>"119931"</f>
        <v>119931</v>
      </c>
      <c r="E13" s="4" t="str">
        <f>"水星1号"</f>
        <v>水星1号</v>
      </c>
      <c r="F13" s="4">
        <v>0</v>
      </c>
      <c r="G13" s="4">
        <v>0</v>
      </c>
      <c r="H13" s="4">
        <v>6000</v>
      </c>
      <c r="I13" s="4">
        <v>6000</v>
      </c>
      <c r="J13" s="4">
        <v>6001</v>
      </c>
      <c r="K13" s="4">
        <v>0</v>
      </c>
      <c r="L13" s="4" t="str">
        <f t="shared" si="0"/>
        <v>人民币</v>
      </c>
      <c r="M13" s="4" t="str">
        <f>"T4000210"</f>
        <v>T4000210</v>
      </c>
      <c r="N13" s="4" t="str">
        <f t="shared" si="6"/>
        <v>0149593788</v>
      </c>
      <c r="O13" s="4" t="str">
        <f t="shared" si="2"/>
        <v>300100052893</v>
      </c>
    </row>
    <row r="14" spans="1:15">
      <c r="A14" s="4" t="str">
        <f t="shared" si="7"/>
        <v>20180914</v>
      </c>
      <c r="B14" s="4" t="str">
        <f t="shared" si="8"/>
        <v>20180914</v>
      </c>
      <c r="C14" s="4" t="str">
        <f>"证券转银行"</f>
        <v>证券转银行</v>
      </c>
      <c r="F14" s="4">
        <v>0</v>
      </c>
      <c r="G14" s="4">
        <v>0</v>
      </c>
      <c r="H14" s="4">
        <v>0</v>
      </c>
      <c r="I14" s="4">
        <v>-6000</v>
      </c>
      <c r="J14" s="4">
        <v>1</v>
      </c>
      <c r="K14" s="4">
        <v>0</v>
      </c>
      <c r="L14" s="4" t="str">
        <f t="shared" si="0"/>
        <v>人民币</v>
      </c>
      <c r="O14" s="4" t="str">
        <f t="shared" si="2"/>
        <v>300100052893</v>
      </c>
    </row>
    <row r="15" spans="1:15">
      <c r="A15" s="4" t="str">
        <f t="shared" si="7"/>
        <v>20180914</v>
      </c>
      <c r="B15" s="4" t="str">
        <f t="shared" si="8"/>
        <v>20180914</v>
      </c>
      <c r="C15" s="4" t="str">
        <f>"资管T0取现拨入"</f>
        <v>资管T0取现拨入</v>
      </c>
      <c r="D15" s="4" t="str">
        <f>"AA0007"</f>
        <v>AA0007</v>
      </c>
      <c r="E15" s="4" t="str">
        <f>"银河水星1号集合"</f>
        <v>银河水星1号集合</v>
      </c>
      <c r="F15" s="4">
        <v>0</v>
      </c>
      <c r="G15" s="4">
        <v>6000</v>
      </c>
      <c r="H15" s="4">
        <v>6000</v>
      </c>
      <c r="I15" s="4">
        <v>6000</v>
      </c>
      <c r="J15" s="4">
        <v>6001</v>
      </c>
      <c r="K15" s="4">
        <v>0</v>
      </c>
      <c r="L15" s="4" t="str">
        <f t="shared" si="0"/>
        <v>人民币</v>
      </c>
      <c r="N15" s="4" t="str">
        <f>"980149593788"</f>
        <v>980149593788</v>
      </c>
      <c r="O15" s="4" t="str">
        <f t="shared" si="2"/>
        <v>300100052893</v>
      </c>
    </row>
    <row r="16" spans="1:15">
      <c r="A16" s="4" t="str">
        <f t="shared" si="7"/>
        <v>20180914</v>
      </c>
      <c r="B16" s="4" t="str">
        <f t="shared" si="8"/>
        <v>20180914</v>
      </c>
      <c r="C16" s="4" t="str">
        <f>"资管计划实时取现"</f>
        <v>资管计划实时取现</v>
      </c>
      <c r="D16" s="4" t="str">
        <f>"119931"</f>
        <v>119931</v>
      </c>
      <c r="E16" s="4" t="str">
        <f>"水星1号"</f>
        <v>水星1号</v>
      </c>
      <c r="F16" s="4">
        <v>0</v>
      </c>
      <c r="G16" s="4">
        <v>0</v>
      </c>
      <c r="H16" s="4">
        <v>0</v>
      </c>
      <c r="I16" s="4">
        <v>-6000</v>
      </c>
      <c r="J16" s="4">
        <v>1</v>
      </c>
      <c r="K16" s="4">
        <v>0</v>
      </c>
      <c r="L16" s="4" t="str">
        <f t="shared" si="0"/>
        <v>人民币</v>
      </c>
      <c r="M16" s="4" t="str">
        <f>"T4000210"</f>
        <v>T4000210</v>
      </c>
      <c r="N16" s="4" t="str">
        <f>"0149593788"</f>
        <v>0149593788</v>
      </c>
      <c r="O16" s="4" t="str">
        <f t="shared" si="2"/>
        <v>300100052893</v>
      </c>
    </row>
    <row r="17" spans="1:15">
      <c r="A17" s="4" t="str">
        <f>"20180920"</f>
        <v>20180920</v>
      </c>
      <c r="B17" s="4" t="str">
        <f>"20180920"</f>
        <v>20180920</v>
      </c>
      <c r="C17" s="4" t="str">
        <f>"利息归本"</f>
        <v>利息归本</v>
      </c>
      <c r="F17" s="4">
        <v>0</v>
      </c>
      <c r="G17" s="4">
        <v>0</v>
      </c>
      <c r="H17" s="4">
        <v>0</v>
      </c>
      <c r="I17" s="4">
        <v>0.28</v>
      </c>
      <c r="J17" s="4">
        <v>1.28</v>
      </c>
      <c r="K17" s="4">
        <v>0</v>
      </c>
      <c r="L17" s="4" t="str">
        <f t="shared" si="0"/>
        <v>人民币</v>
      </c>
      <c r="O17" s="4" t="str">
        <f t="shared" si="2"/>
        <v>300100052893</v>
      </c>
    </row>
    <row r="18" spans="1:15">
      <c r="A18" s="4" t="str">
        <f>"20180921"</f>
        <v>20180921</v>
      </c>
      <c r="B18" s="4" t="str">
        <f>"0"</f>
        <v>0</v>
      </c>
      <c r="C18" s="4" t="str">
        <f>"基金红利拨入"</f>
        <v>基金红利拨入</v>
      </c>
      <c r="D18" s="4" t="str">
        <f>"AA0007"</f>
        <v>AA0007</v>
      </c>
      <c r="E18" s="4" t="str">
        <f>"银河水星1号集合"</f>
        <v>银河水星1号集合</v>
      </c>
      <c r="F18" s="4">
        <v>0</v>
      </c>
      <c r="G18" s="4">
        <v>0</v>
      </c>
      <c r="H18" s="4">
        <v>4.99</v>
      </c>
      <c r="I18" s="4">
        <v>4.99</v>
      </c>
      <c r="J18" s="4">
        <v>6.27</v>
      </c>
      <c r="K18" s="4">
        <v>0</v>
      </c>
      <c r="L18" s="4" t="str">
        <f t="shared" si="0"/>
        <v>人民币</v>
      </c>
      <c r="N18" s="4" t="str">
        <f>"980149593788"</f>
        <v>980149593788</v>
      </c>
      <c r="O18" s="4" t="str">
        <f t="shared" si="2"/>
        <v>300100052893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A2" sqref="A2:K8"/>
    </sheetView>
  </sheetViews>
  <sheetFormatPr defaultColWidth="9" defaultRowHeight="13.5" outlineLevelRow="7"/>
  <cols>
    <col min="1" max="16384" width="9" style="4"/>
  </cols>
  <sheetData>
    <row r="1" spans="1:15">
      <c r="A1" s="4" t="str">
        <f>"购买日期"</f>
        <v>购买日期</v>
      </c>
      <c r="B1" s="4" t="str">
        <f>"委托日期"</f>
        <v>委托日期</v>
      </c>
      <c r="C1" s="4" t="str">
        <f>"业务类型"</f>
        <v>业务类型</v>
      </c>
      <c r="D1" s="4" t="str">
        <f>"证券代码"</f>
        <v>证券代码</v>
      </c>
      <c r="E1" s="4" t="str">
        <f>"证券名称"</f>
        <v>证券名称</v>
      </c>
      <c r="F1" s="4" t="str">
        <f>"成交价格"</f>
        <v>成交价格</v>
      </c>
      <c r="G1" s="4" t="str">
        <f>"成交数量"</f>
        <v>成交数量</v>
      </c>
      <c r="H1" s="4" t="str">
        <f>"成交金额"</f>
        <v>成交金额</v>
      </c>
      <c r="I1" s="4" t="str">
        <f>"发生金额"</f>
        <v>发生金额</v>
      </c>
      <c r="J1" s="4" t="str">
        <f>"资金余额"</f>
        <v>资金余额</v>
      </c>
      <c r="K1" s="4" t="str">
        <f>"当前持仓"</f>
        <v>当前持仓</v>
      </c>
      <c r="L1" s="4" t="str">
        <f>"币种"</f>
        <v>币种</v>
      </c>
      <c r="M1" s="4" t="str">
        <f>"协议编号"</f>
        <v>协议编号</v>
      </c>
      <c r="N1" s="4" t="str">
        <f>"股东代码"</f>
        <v>股东代码</v>
      </c>
      <c r="O1" s="4" t="str">
        <f>"产品账号"</f>
        <v>产品账号</v>
      </c>
    </row>
    <row r="2" spans="1:15">
      <c r="A2" s="4" t="str">
        <f>"20181015"</f>
        <v>20181015</v>
      </c>
      <c r="B2" s="4" t="str">
        <f>"20181015"</f>
        <v>20181015</v>
      </c>
      <c r="C2" s="4" t="str">
        <f>"基金下折"</f>
        <v>基金下折</v>
      </c>
      <c r="D2" s="4" t="str">
        <f>"161024"</f>
        <v>161024</v>
      </c>
      <c r="E2" s="4" t="str">
        <f>"军工分级"</f>
        <v>军工分级</v>
      </c>
      <c r="F2" s="4">
        <v>0</v>
      </c>
      <c r="G2" s="4">
        <v>788</v>
      </c>
      <c r="H2" s="4">
        <v>0</v>
      </c>
      <c r="I2" s="4">
        <v>0</v>
      </c>
      <c r="J2" s="4">
        <v>6.27</v>
      </c>
      <c r="K2" s="4">
        <v>1388</v>
      </c>
      <c r="L2" s="4" t="str">
        <f t="shared" ref="L2:L8" si="0">"人民币"</f>
        <v>人民币</v>
      </c>
      <c r="N2" s="4" t="str">
        <f t="shared" ref="N2:N6" si="1">"0149593788"</f>
        <v>0149593788</v>
      </c>
      <c r="O2" s="4" t="str">
        <f t="shared" ref="O2:O8" si="2">"300100052893"</f>
        <v>300100052893</v>
      </c>
    </row>
    <row r="3" spans="1:15">
      <c r="A3" s="4" t="str">
        <f>"20181015"</f>
        <v>20181015</v>
      </c>
      <c r="B3" s="4" t="str">
        <f>"20181015"</f>
        <v>20181015</v>
      </c>
      <c r="C3" s="4" t="str">
        <f>"基金下折"</f>
        <v>基金下折</v>
      </c>
      <c r="D3" s="4" t="str">
        <f>"150182"</f>
        <v>150182</v>
      </c>
      <c r="E3" s="4" t="str">
        <f>"军工B"</f>
        <v>军工B</v>
      </c>
      <c r="F3" s="4">
        <v>0</v>
      </c>
      <c r="G3" s="4">
        <v>10354</v>
      </c>
      <c r="H3" s="4">
        <v>0</v>
      </c>
      <c r="I3" s="4">
        <v>0</v>
      </c>
      <c r="J3" s="4">
        <v>6.27</v>
      </c>
      <c r="K3" s="4">
        <v>3246</v>
      </c>
      <c r="L3" s="4" t="str">
        <f t="shared" si="0"/>
        <v>人民币</v>
      </c>
      <c r="N3" s="4" t="str">
        <f t="shared" si="1"/>
        <v>0149593788</v>
      </c>
      <c r="O3" s="4" t="str">
        <f t="shared" si="2"/>
        <v>300100052893</v>
      </c>
    </row>
    <row r="4" spans="1:15">
      <c r="A4" s="4" t="str">
        <f>"20181203"</f>
        <v>20181203</v>
      </c>
      <c r="B4" s="4" t="str">
        <f>"20181203"</f>
        <v>20181203</v>
      </c>
      <c r="C4" s="4" t="str">
        <f>"债券兑息"</f>
        <v>债券兑息</v>
      </c>
      <c r="D4" s="4" t="str">
        <f>"128023"</f>
        <v>128023</v>
      </c>
      <c r="E4" s="4" t="str">
        <f>"亚太转债"</f>
        <v>亚太转债</v>
      </c>
      <c r="F4" s="4">
        <v>0</v>
      </c>
      <c r="G4" s="4">
        <v>0</v>
      </c>
      <c r="H4" s="4">
        <v>3</v>
      </c>
      <c r="I4" s="4">
        <v>3</v>
      </c>
      <c r="J4" s="4">
        <v>9.27</v>
      </c>
      <c r="K4" s="4">
        <v>0</v>
      </c>
      <c r="L4" s="4" t="str">
        <f t="shared" si="0"/>
        <v>人民币</v>
      </c>
      <c r="N4" s="4" t="str">
        <f t="shared" si="1"/>
        <v>0149593788</v>
      </c>
      <c r="O4" s="4" t="str">
        <f t="shared" si="2"/>
        <v>300100052893</v>
      </c>
    </row>
    <row r="5" spans="1:15">
      <c r="A5" s="4" t="str">
        <f>"20181203"</f>
        <v>20181203</v>
      </c>
      <c r="B5" s="4" t="str">
        <f>"20181203"</f>
        <v>20181203</v>
      </c>
      <c r="C5" s="4" t="str">
        <f>"债券兑息兑付扣税"</f>
        <v>债券兑息兑付扣税</v>
      </c>
      <c r="D5" s="4" t="str">
        <f>"128023"</f>
        <v>128023</v>
      </c>
      <c r="E5" s="4" t="str">
        <f>"亚太转债"</f>
        <v>亚太转债</v>
      </c>
      <c r="F5" s="4">
        <v>0</v>
      </c>
      <c r="G5" s="4">
        <v>0</v>
      </c>
      <c r="H5" s="4">
        <v>0.6</v>
      </c>
      <c r="I5" s="4">
        <v>-0.6</v>
      </c>
      <c r="J5" s="4">
        <v>8.67</v>
      </c>
      <c r="K5" s="4">
        <v>0</v>
      </c>
      <c r="L5" s="4" t="str">
        <f t="shared" si="0"/>
        <v>人民币</v>
      </c>
      <c r="N5" s="4" t="str">
        <f t="shared" si="1"/>
        <v>0149593788</v>
      </c>
      <c r="O5" s="4" t="str">
        <f t="shared" si="2"/>
        <v>300100052893</v>
      </c>
    </row>
    <row r="6" spans="1:15">
      <c r="A6" s="4" t="str">
        <f>"20181217"</f>
        <v>20181217</v>
      </c>
      <c r="B6" s="4" t="str">
        <f>"20181217"</f>
        <v>20181217</v>
      </c>
      <c r="C6" s="4" t="str">
        <f>"基金上折"</f>
        <v>基金上折</v>
      </c>
      <c r="D6" s="4" t="str">
        <f>"161024"</f>
        <v>161024</v>
      </c>
      <c r="E6" s="4" t="str">
        <f>"军工分级"</f>
        <v>军工分级</v>
      </c>
      <c r="F6" s="4">
        <v>0</v>
      </c>
      <c r="G6" s="4">
        <v>5</v>
      </c>
      <c r="H6" s="4">
        <v>0</v>
      </c>
      <c r="I6" s="4">
        <v>0</v>
      </c>
      <c r="J6" s="4">
        <v>8.67</v>
      </c>
      <c r="K6" s="4">
        <v>1393</v>
      </c>
      <c r="L6" s="4" t="str">
        <f t="shared" si="0"/>
        <v>人民币</v>
      </c>
      <c r="N6" s="4" t="str">
        <f t="shared" si="1"/>
        <v>0149593788</v>
      </c>
      <c r="O6" s="4" t="str">
        <f t="shared" si="2"/>
        <v>300100052893</v>
      </c>
    </row>
    <row r="7" spans="1:15">
      <c r="A7" s="4" t="str">
        <f>"20181220"</f>
        <v>20181220</v>
      </c>
      <c r="B7" s="4" t="str">
        <f>"20181220"</f>
        <v>20181220</v>
      </c>
      <c r="C7" s="4" t="str">
        <f>"利息归本"</f>
        <v>利息归本</v>
      </c>
      <c r="F7" s="4">
        <v>0</v>
      </c>
      <c r="G7" s="4">
        <v>0</v>
      </c>
      <c r="H7" s="4">
        <v>0</v>
      </c>
      <c r="I7" s="4">
        <v>0.01</v>
      </c>
      <c r="J7" s="4">
        <v>8.68</v>
      </c>
      <c r="K7" s="4">
        <v>0</v>
      </c>
      <c r="L7" s="4" t="str">
        <f t="shared" si="0"/>
        <v>人民币</v>
      </c>
      <c r="O7" s="4" t="str">
        <f t="shared" si="2"/>
        <v>300100052893</v>
      </c>
    </row>
    <row r="8" spans="1:15">
      <c r="A8" s="4" t="str">
        <f>"20181221"</f>
        <v>20181221</v>
      </c>
      <c r="B8" s="4" t="str">
        <f>"0"</f>
        <v>0</v>
      </c>
      <c r="C8" s="4" t="str">
        <f>"基金红利拨入"</f>
        <v>基金红利拨入</v>
      </c>
      <c r="D8" s="4" t="str">
        <f>"AA0007"</f>
        <v>AA0007</v>
      </c>
      <c r="E8" s="4" t="str">
        <f>"银河水星1号集合"</f>
        <v>银河水星1号集合</v>
      </c>
      <c r="F8" s="4">
        <v>0</v>
      </c>
      <c r="G8" s="4">
        <v>0</v>
      </c>
      <c r="H8" s="4">
        <v>1.36</v>
      </c>
      <c r="I8" s="4">
        <v>1.36</v>
      </c>
      <c r="J8" s="4">
        <v>10.04</v>
      </c>
      <c r="K8" s="4">
        <v>0</v>
      </c>
      <c r="L8" s="4" t="str">
        <f t="shared" si="0"/>
        <v>人民币</v>
      </c>
      <c r="N8" s="4" t="str">
        <f>"980149593788"</f>
        <v>980149593788</v>
      </c>
      <c r="O8" s="4" t="str">
        <f t="shared" si="2"/>
        <v>300100052893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A2" sqref="A2:K8"/>
    </sheetView>
  </sheetViews>
  <sheetFormatPr defaultColWidth="9" defaultRowHeight="13.5" outlineLevelRow="7"/>
  <cols>
    <col min="1" max="16384" width="9" style="4"/>
  </cols>
  <sheetData>
    <row r="1" spans="1:15">
      <c r="A1" s="4" t="str">
        <f>"购买日期"</f>
        <v>购买日期</v>
      </c>
      <c r="B1" s="4" t="str">
        <f>"委托日期"</f>
        <v>委托日期</v>
      </c>
      <c r="C1" s="4" t="str">
        <f>"业务类型"</f>
        <v>业务类型</v>
      </c>
      <c r="D1" s="4" t="str">
        <f>"证券代码"</f>
        <v>证券代码</v>
      </c>
      <c r="E1" s="4" t="str">
        <f>"证券名称"</f>
        <v>证券名称</v>
      </c>
      <c r="F1" s="4" t="str">
        <f>"成交价格"</f>
        <v>成交价格</v>
      </c>
      <c r="G1" s="4" t="str">
        <f>"成交数量"</f>
        <v>成交数量</v>
      </c>
      <c r="H1" s="4" t="str">
        <f>"成交金额"</f>
        <v>成交金额</v>
      </c>
      <c r="I1" s="4" t="str">
        <f>"发生金额"</f>
        <v>发生金额</v>
      </c>
      <c r="J1" s="4" t="str">
        <f>"资金余额"</f>
        <v>资金余额</v>
      </c>
      <c r="K1" s="4" t="str">
        <f>"当前持仓"</f>
        <v>当前持仓</v>
      </c>
      <c r="L1" s="4" t="str">
        <f>"币种"</f>
        <v>币种</v>
      </c>
      <c r="M1" s="4" t="str">
        <f>"协议编号"</f>
        <v>协议编号</v>
      </c>
      <c r="N1" s="4" t="str">
        <f>"股东代码"</f>
        <v>股东代码</v>
      </c>
      <c r="O1" s="4" t="str">
        <f>"产品账号"</f>
        <v>产品账号</v>
      </c>
    </row>
    <row r="2" spans="1:15">
      <c r="A2" s="4" t="str">
        <f>"20190315"</f>
        <v>20190315</v>
      </c>
      <c r="B2" s="4" t="str">
        <f>"20190315"</f>
        <v>20190315</v>
      </c>
      <c r="C2" s="4" t="str">
        <f>"银行转证券"</f>
        <v>银行转证券</v>
      </c>
      <c r="F2" s="4">
        <v>0</v>
      </c>
      <c r="G2" s="4">
        <v>0</v>
      </c>
      <c r="H2" s="4">
        <v>0</v>
      </c>
      <c r="I2" s="4">
        <v>2000</v>
      </c>
      <c r="J2" s="4">
        <v>2010.04</v>
      </c>
      <c r="K2" s="4">
        <v>0</v>
      </c>
      <c r="L2" s="4" t="str">
        <f t="shared" ref="L2:L8" si="0">"人民币"</f>
        <v>人民币</v>
      </c>
      <c r="O2" s="4" t="str">
        <f t="shared" ref="O2:O8" si="1">"300100052893"</f>
        <v>300100052893</v>
      </c>
    </row>
    <row r="3" spans="1:15">
      <c r="A3" s="4" t="str">
        <f>"20190315"</f>
        <v>20190315</v>
      </c>
      <c r="B3" s="4" t="str">
        <f t="shared" ref="B3:B6" si="2">"20190313"</f>
        <v>20190313</v>
      </c>
      <c r="C3" s="4" t="str">
        <f>"配售缴款"</f>
        <v>配售缴款</v>
      </c>
      <c r="D3" s="4" t="str">
        <f t="shared" ref="D3:D6" si="3">"002958"</f>
        <v>002958</v>
      </c>
      <c r="E3" s="4" t="str">
        <f t="shared" ref="E3:E6" si="4">"青农商行"</f>
        <v>青农商行</v>
      </c>
      <c r="F3" s="4">
        <v>3.96</v>
      </c>
      <c r="G3" s="4">
        <v>500</v>
      </c>
      <c r="H3" s="4">
        <v>1980</v>
      </c>
      <c r="I3" s="4">
        <v>-1980</v>
      </c>
      <c r="J3" s="4">
        <v>30.04</v>
      </c>
      <c r="K3" s="4">
        <v>0</v>
      </c>
      <c r="L3" s="4" t="str">
        <f t="shared" si="0"/>
        <v>人民币</v>
      </c>
      <c r="M3" s="4" t="str">
        <f>"T4018504"</f>
        <v>T4018504</v>
      </c>
      <c r="N3" s="4" t="str">
        <f t="shared" ref="N3:N6" si="5">"0149593788"</f>
        <v>0149593788</v>
      </c>
      <c r="O3" s="4" t="str">
        <f t="shared" si="1"/>
        <v>300100052893</v>
      </c>
    </row>
    <row r="4" spans="1:15">
      <c r="A4" s="4" t="str">
        <f>"20190318"</f>
        <v>20190318</v>
      </c>
      <c r="B4" s="4" t="str">
        <f t="shared" si="2"/>
        <v>20190313</v>
      </c>
      <c r="C4" s="4" t="str">
        <f>"配售股份"</f>
        <v>配售股份</v>
      </c>
      <c r="D4" s="4" t="str">
        <f t="shared" si="3"/>
        <v>002958</v>
      </c>
      <c r="E4" s="4" t="str">
        <f t="shared" si="4"/>
        <v>青农商行</v>
      </c>
      <c r="F4" s="4">
        <v>3.96</v>
      </c>
      <c r="G4" s="4">
        <v>500</v>
      </c>
      <c r="H4" s="4">
        <v>1980</v>
      </c>
      <c r="I4" s="4">
        <v>0</v>
      </c>
      <c r="J4" s="4">
        <v>30.04</v>
      </c>
      <c r="K4" s="4">
        <v>500</v>
      </c>
      <c r="L4" s="4" t="str">
        <f t="shared" si="0"/>
        <v>人民币</v>
      </c>
      <c r="M4" s="4" t="str">
        <f>"T4018504"</f>
        <v>T4018504</v>
      </c>
      <c r="N4" s="4" t="str">
        <f t="shared" si="5"/>
        <v>0149593788</v>
      </c>
      <c r="O4" s="4" t="str">
        <f t="shared" si="1"/>
        <v>300100052893</v>
      </c>
    </row>
    <row r="5" spans="1:15">
      <c r="A5" s="4" t="str">
        <f>"20190319"</f>
        <v>20190319</v>
      </c>
      <c r="B5" s="4" t="str">
        <f t="shared" si="2"/>
        <v>20190313</v>
      </c>
      <c r="C5" s="4" t="str">
        <f>"中签股份下账"</f>
        <v>中签股份下账</v>
      </c>
      <c r="D5" s="4" t="str">
        <f t="shared" si="3"/>
        <v>002958</v>
      </c>
      <c r="E5" s="4" t="str">
        <f t="shared" si="4"/>
        <v>青农商行</v>
      </c>
      <c r="F5" s="4">
        <v>3.96</v>
      </c>
      <c r="G5" s="4">
        <v>500</v>
      </c>
      <c r="H5" s="4">
        <v>1980</v>
      </c>
      <c r="I5" s="4">
        <v>0</v>
      </c>
      <c r="J5" s="4">
        <v>30.04</v>
      </c>
      <c r="K5" s="4">
        <v>0</v>
      </c>
      <c r="L5" s="4" t="str">
        <f t="shared" si="0"/>
        <v>人民币</v>
      </c>
      <c r="N5" s="4" t="str">
        <f t="shared" si="5"/>
        <v>0149593788</v>
      </c>
      <c r="O5" s="4" t="str">
        <f t="shared" si="1"/>
        <v>300100052893</v>
      </c>
    </row>
    <row r="6" spans="1:15">
      <c r="A6" s="4" t="str">
        <f>"20190319"</f>
        <v>20190319</v>
      </c>
      <c r="B6" s="4" t="str">
        <f t="shared" si="2"/>
        <v>20190313</v>
      </c>
      <c r="C6" s="4" t="str">
        <f>"新股入帐"</f>
        <v>新股入帐</v>
      </c>
      <c r="D6" s="4" t="str">
        <f t="shared" si="3"/>
        <v>002958</v>
      </c>
      <c r="E6" s="4" t="str">
        <f t="shared" si="4"/>
        <v>青农商行</v>
      </c>
      <c r="F6" s="4">
        <v>3.96</v>
      </c>
      <c r="G6" s="4">
        <v>500</v>
      </c>
      <c r="H6" s="4">
        <v>0</v>
      </c>
      <c r="I6" s="4">
        <v>0</v>
      </c>
      <c r="J6" s="4">
        <v>30.04</v>
      </c>
      <c r="K6" s="4">
        <v>500</v>
      </c>
      <c r="L6" s="4" t="str">
        <f t="shared" si="0"/>
        <v>人民币</v>
      </c>
      <c r="N6" s="4" t="str">
        <f t="shared" si="5"/>
        <v>0149593788</v>
      </c>
      <c r="O6" s="4" t="str">
        <f t="shared" si="1"/>
        <v>300100052893</v>
      </c>
    </row>
    <row r="7" spans="1:15">
      <c r="A7" s="4" t="str">
        <f>"20190320"</f>
        <v>20190320</v>
      </c>
      <c r="B7" s="4" t="str">
        <f>"20190320"</f>
        <v>20190320</v>
      </c>
      <c r="C7" s="4" t="str">
        <f>"利息归本"</f>
        <v>利息归本</v>
      </c>
      <c r="F7" s="4">
        <v>0</v>
      </c>
      <c r="G7" s="4">
        <v>0</v>
      </c>
      <c r="H7" s="4">
        <v>0</v>
      </c>
      <c r="I7" s="4">
        <v>0.01</v>
      </c>
      <c r="J7" s="4">
        <v>30.05</v>
      </c>
      <c r="K7" s="4">
        <v>0</v>
      </c>
      <c r="L7" s="4" t="str">
        <f t="shared" si="0"/>
        <v>人民币</v>
      </c>
      <c r="O7" s="4" t="str">
        <f t="shared" si="1"/>
        <v>300100052893</v>
      </c>
    </row>
    <row r="8" spans="1:15">
      <c r="A8" s="4" t="str">
        <f>"20190321"</f>
        <v>20190321</v>
      </c>
      <c r="B8" s="4" t="str">
        <f>"0"</f>
        <v>0</v>
      </c>
      <c r="C8" s="4" t="str">
        <f>"基金红利拨入"</f>
        <v>基金红利拨入</v>
      </c>
      <c r="D8" s="4" t="str">
        <f>"AA0007"</f>
        <v>AA0007</v>
      </c>
      <c r="E8" s="4" t="str">
        <f>"银河水星1号集合"</f>
        <v>银河水星1号集合</v>
      </c>
      <c r="F8" s="4">
        <v>0</v>
      </c>
      <c r="G8" s="4">
        <v>0</v>
      </c>
      <c r="H8" s="4">
        <v>1.27</v>
      </c>
      <c r="I8" s="4">
        <v>1.27</v>
      </c>
      <c r="J8" s="4">
        <v>31.32</v>
      </c>
      <c r="K8" s="4">
        <v>0</v>
      </c>
      <c r="L8" s="4" t="str">
        <f t="shared" si="0"/>
        <v>人民币</v>
      </c>
      <c r="N8" s="4" t="str">
        <f>"980149593788"</f>
        <v>980149593788</v>
      </c>
      <c r="O8" s="4" t="str">
        <f t="shared" si="1"/>
        <v>300100052893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A2" sqref="A2:K13"/>
    </sheetView>
  </sheetViews>
  <sheetFormatPr defaultColWidth="9" defaultRowHeight="13.5"/>
  <cols>
    <col min="1" max="16384" width="9" style="4"/>
  </cols>
  <sheetData>
    <row r="1" spans="1:15">
      <c r="A1" s="4" t="str">
        <f>"购买日期"</f>
        <v>购买日期</v>
      </c>
      <c r="B1" s="4" t="str">
        <f>"委托日期"</f>
        <v>委托日期</v>
      </c>
      <c r="C1" s="4" t="str">
        <f>"业务类型"</f>
        <v>业务类型</v>
      </c>
      <c r="D1" s="4" t="str">
        <f>"证券代码"</f>
        <v>证券代码</v>
      </c>
      <c r="E1" s="4" t="str">
        <f>"证券名称"</f>
        <v>证券名称</v>
      </c>
      <c r="F1" s="4" t="str">
        <f>"成交价格"</f>
        <v>成交价格</v>
      </c>
      <c r="G1" s="4" t="str">
        <f>"成交数量"</f>
        <v>成交数量</v>
      </c>
      <c r="H1" s="4" t="str">
        <f>"成交金额"</f>
        <v>成交金额</v>
      </c>
      <c r="I1" s="4" t="str">
        <f>"发生金额"</f>
        <v>发生金额</v>
      </c>
      <c r="J1" s="4" t="str">
        <f>"资金余额"</f>
        <v>资金余额</v>
      </c>
      <c r="K1" s="4" t="str">
        <f>"当前持仓"</f>
        <v>当前持仓</v>
      </c>
      <c r="L1" s="4" t="str">
        <f>"币种"</f>
        <v>币种</v>
      </c>
      <c r="M1" s="4" t="str">
        <f>"协议编号"</f>
        <v>协议编号</v>
      </c>
      <c r="N1" s="4" t="str">
        <f>"股东代码"</f>
        <v>股东代码</v>
      </c>
      <c r="O1" s="4" t="str">
        <f>"产品账号"</f>
        <v>产品账号</v>
      </c>
    </row>
    <row r="2" spans="1:15">
      <c r="A2" s="4" t="str">
        <f>"20190403"</f>
        <v>20190403</v>
      </c>
      <c r="B2" s="4" t="str">
        <f>"20190403"</f>
        <v>20190403</v>
      </c>
      <c r="C2" s="4" t="str">
        <f>"基金申购拨出"</f>
        <v>基金申购拨出</v>
      </c>
      <c r="D2" s="4" t="str">
        <f>"AA0007"</f>
        <v>AA0007</v>
      </c>
      <c r="E2" s="4" t="str">
        <f>"银河水星1号集合"</f>
        <v>银河水星1号集合</v>
      </c>
      <c r="F2" s="4">
        <v>0</v>
      </c>
      <c r="G2" s="4">
        <v>0</v>
      </c>
      <c r="H2" s="4">
        <v>0</v>
      </c>
      <c r="I2" s="4">
        <v>-4775.56</v>
      </c>
      <c r="J2" s="4">
        <v>-4744.24</v>
      </c>
      <c r="K2" s="4">
        <v>0</v>
      </c>
      <c r="L2" s="4" t="str">
        <f t="shared" ref="L2:L12" si="0">"人民币"</f>
        <v>人民币</v>
      </c>
      <c r="N2" s="4" t="str">
        <f>"980149593788"</f>
        <v>980149593788</v>
      </c>
      <c r="O2" s="4" t="str">
        <f t="shared" ref="O2:O12" si="1">"300100052893"</f>
        <v>300100052893</v>
      </c>
    </row>
    <row r="3" spans="1:15">
      <c r="A3" s="4" t="str">
        <f>"20190403"</f>
        <v>20190403</v>
      </c>
      <c r="B3" s="4" t="str">
        <f>"20190403"</f>
        <v>20190403</v>
      </c>
      <c r="C3" s="4" t="str">
        <f>"证券卖出"</f>
        <v>证券卖出</v>
      </c>
      <c r="D3" s="4" t="str">
        <f>"002958"</f>
        <v>002958</v>
      </c>
      <c r="E3" s="4" t="str">
        <f>"青农商行"</f>
        <v>青农商行</v>
      </c>
      <c r="F3" s="4">
        <v>9.51</v>
      </c>
      <c r="G3" s="4">
        <v>500</v>
      </c>
      <c r="H3" s="4">
        <v>4755</v>
      </c>
      <c r="I3" s="4">
        <v>4745.24</v>
      </c>
      <c r="J3" s="4">
        <v>1</v>
      </c>
      <c r="K3" s="4">
        <v>0</v>
      </c>
      <c r="L3" s="4" t="str">
        <f t="shared" si="0"/>
        <v>人民币</v>
      </c>
      <c r="M3" s="4" t="str">
        <f>"T4002052"</f>
        <v>T4002052</v>
      </c>
      <c r="N3" s="4" t="str">
        <f>"0149593788"</f>
        <v>0149593788</v>
      </c>
      <c r="O3" s="4" t="str">
        <f t="shared" si="1"/>
        <v>300100052893</v>
      </c>
    </row>
    <row r="4" spans="1:15">
      <c r="A4" s="4" t="str">
        <f>"20190417"</f>
        <v>20190417</v>
      </c>
      <c r="B4" s="4" t="str">
        <f>"20190417"</f>
        <v>20190417</v>
      </c>
      <c r="C4" s="4" t="str">
        <f>"基金赎回拨入"</f>
        <v>基金赎回拨入</v>
      </c>
      <c r="D4" s="4" t="str">
        <f t="shared" ref="D4:D8" si="2">"AA0007"</f>
        <v>AA0007</v>
      </c>
      <c r="E4" s="4" t="str">
        <f t="shared" ref="E4:E8" si="3">"银河水星1号集合"</f>
        <v>银河水星1号集合</v>
      </c>
      <c r="F4" s="4">
        <v>0</v>
      </c>
      <c r="G4" s="4">
        <v>2999</v>
      </c>
      <c r="H4" s="4">
        <v>0</v>
      </c>
      <c r="I4" s="4">
        <v>2999</v>
      </c>
      <c r="J4" s="4">
        <v>3000</v>
      </c>
      <c r="K4" s="4">
        <v>0</v>
      </c>
      <c r="L4" s="4" t="str">
        <f t="shared" si="0"/>
        <v>人民币</v>
      </c>
      <c r="N4" s="4" t="str">
        <f t="shared" ref="N4:N8" si="4">"980149593788"</f>
        <v>980149593788</v>
      </c>
      <c r="O4" s="4" t="str">
        <f t="shared" si="1"/>
        <v>300100052893</v>
      </c>
    </row>
    <row r="5" spans="1:15">
      <c r="A5" s="4" t="str">
        <f>"20190418"</f>
        <v>20190418</v>
      </c>
      <c r="B5" s="4" t="str">
        <f>"20190418"</f>
        <v>20190418</v>
      </c>
      <c r="C5" s="4" t="str">
        <f>"基金申购拨出"</f>
        <v>基金申购拨出</v>
      </c>
      <c r="D5" s="4" t="str">
        <f t="shared" si="2"/>
        <v>AA0007</v>
      </c>
      <c r="E5" s="4" t="str">
        <f t="shared" si="3"/>
        <v>银河水星1号集合</v>
      </c>
      <c r="F5" s="4">
        <v>0</v>
      </c>
      <c r="G5" s="4">
        <v>0</v>
      </c>
      <c r="H5" s="4">
        <v>0</v>
      </c>
      <c r="I5" s="4">
        <v>-3000</v>
      </c>
      <c r="J5" s="4">
        <v>0</v>
      </c>
      <c r="K5" s="4">
        <v>0</v>
      </c>
      <c r="L5" s="4" t="str">
        <f t="shared" si="0"/>
        <v>人民币</v>
      </c>
      <c r="N5" s="4" t="str">
        <f t="shared" si="4"/>
        <v>980149593788</v>
      </c>
      <c r="O5" s="4" t="str">
        <f t="shared" si="1"/>
        <v>300100052893</v>
      </c>
    </row>
    <row r="6" spans="1:15">
      <c r="A6" s="4" t="str">
        <f t="shared" ref="A6:A9" si="5">"20190524"</f>
        <v>20190524</v>
      </c>
      <c r="B6" s="4" t="str">
        <f t="shared" ref="B6:B9" si="6">"20190524"</f>
        <v>20190524</v>
      </c>
      <c r="C6" s="4" t="str">
        <f>"资管计划实时取现"</f>
        <v>资管计划实时取现</v>
      </c>
      <c r="D6" s="4" t="str">
        <f>"119931"</f>
        <v>119931</v>
      </c>
      <c r="E6" s="4" t="str">
        <f>"水星1号"</f>
        <v>水星1号</v>
      </c>
      <c r="F6" s="4">
        <v>0</v>
      </c>
      <c r="G6" s="4">
        <v>0</v>
      </c>
      <c r="H6" s="4">
        <v>5063</v>
      </c>
      <c r="I6" s="4">
        <v>5063</v>
      </c>
      <c r="J6" s="4">
        <v>5063</v>
      </c>
      <c r="K6" s="4">
        <v>0</v>
      </c>
      <c r="L6" s="4" t="str">
        <f t="shared" si="0"/>
        <v>人民币</v>
      </c>
      <c r="M6" s="4" t="str">
        <f>"T4004456"</f>
        <v>T4004456</v>
      </c>
      <c r="N6" s="4" t="str">
        <f>"0149593788"</f>
        <v>0149593788</v>
      </c>
      <c r="O6" s="4" t="str">
        <f t="shared" si="1"/>
        <v>300100052893</v>
      </c>
    </row>
    <row r="7" spans="1:15">
      <c r="A7" s="4" t="str">
        <f t="shared" si="5"/>
        <v>20190524</v>
      </c>
      <c r="B7" s="4" t="str">
        <f t="shared" si="6"/>
        <v>20190524</v>
      </c>
      <c r="C7" s="4" t="str">
        <f>"证券转银行"</f>
        <v>证券转银行</v>
      </c>
      <c r="F7" s="4">
        <v>0</v>
      </c>
      <c r="G7" s="4">
        <v>0</v>
      </c>
      <c r="H7" s="4">
        <v>0</v>
      </c>
      <c r="I7" s="4">
        <v>-5063</v>
      </c>
      <c r="J7" s="4">
        <v>0</v>
      </c>
      <c r="K7" s="4">
        <v>0</v>
      </c>
      <c r="L7" s="4" t="str">
        <f t="shared" si="0"/>
        <v>人民币</v>
      </c>
      <c r="O7" s="4" t="str">
        <f t="shared" si="1"/>
        <v>300100052893</v>
      </c>
    </row>
    <row r="8" spans="1:15">
      <c r="A8" s="4" t="str">
        <f t="shared" si="5"/>
        <v>20190524</v>
      </c>
      <c r="B8" s="4" t="str">
        <f t="shared" si="6"/>
        <v>20190524</v>
      </c>
      <c r="C8" s="4" t="str">
        <f>"资管T0取现拨入"</f>
        <v>资管T0取现拨入</v>
      </c>
      <c r="D8" s="4" t="str">
        <f t="shared" si="2"/>
        <v>AA0007</v>
      </c>
      <c r="E8" s="4" t="str">
        <f t="shared" si="3"/>
        <v>银河水星1号集合</v>
      </c>
      <c r="F8" s="4">
        <v>0</v>
      </c>
      <c r="G8" s="4">
        <v>5063</v>
      </c>
      <c r="H8" s="4">
        <v>5063</v>
      </c>
      <c r="I8" s="4">
        <v>5063</v>
      </c>
      <c r="J8" s="4">
        <v>5063</v>
      </c>
      <c r="K8" s="4">
        <v>0</v>
      </c>
      <c r="L8" s="4" t="str">
        <f t="shared" si="0"/>
        <v>人民币</v>
      </c>
      <c r="N8" s="4" t="str">
        <f t="shared" si="4"/>
        <v>980149593788</v>
      </c>
      <c r="O8" s="4" t="str">
        <f t="shared" si="1"/>
        <v>300100052893</v>
      </c>
    </row>
    <row r="9" spans="1:15">
      <c r="A9" s="4" t="str">
        <f t="shared" si="5"/>
        <v>20190524</v>
      </c>
      <c r="B9" s="4" t="str">
        <f t="shared" si="6"/>
        <v>20190524</v>
      </c>
      <c r="C9" s="4" t="str">
        <f>"资管计划实时取现"</f>
        <v>资管计划实时取现</v>
      </c>
      <c r="D9" s="4" t="str">
        <f>"119931"</f>
        <v>119931</v>
      </c>
      <c r="E9" s="4" t="str">
        <f>"水星1号"</f>
        <v>水星1号</v>
      </c>
      <c r="F9" s="4">
        <v>0</v>
      </c>
      <c r="G9" s="4">
        <v>0</v>
      </c>
      <c r="H9" s="4">
        <v>0</v>
      </c>
      <c r="I9" s="4">
        <v>-5063</v>
      </c>
      <c r="J9" s="4">
        <v>0</v>
      </c>
      <c r="K9" s="4">
        <v>0</v>
      </c>
      <c r="L9" s="4" t="str">
        <f t="shared" si="0"/>
        <v>人民币</v>
      </c>
      <c r="M9" s="4" t="str">
        <f>"T4004456"</f>
        <v>T4004456</v>
      </c>
      <c r="N9" s="4" t="str">
        <f>"0149593788"</f>
        <v>0149593788</v>
      </c>
      <c r="O9" s="4" t="str">
        <f t="shared" si="1"/>
        <v>300100052893</v>
      </c>
    </row>
    <row r="10" spans="1:15">
      <c r="A10" s="4" t="str">
        <f>"20190620"</f>
        <v>20190620</v>
      </c>
      <c r="B10" s="4" t="str">
        <f>"20190620"</f>
        <v>20190620</v>
      </c>
      <c r="C10" s="4" t="str">
        <f>"利息归本"</f>
        <v>利息归本</v>
      </c>
      <c r="F10" s="4">
        <v>0</v>
      </c>
      <c r="G10" s="4">
        <v>0</v>
      </c>
      <c r="H10" s="4">
        <v>0</v>
      </c>
      <c r="I10" s="4">
        <v>0.03</v>
      </c>
      <c r="J10" s="4">
        <v>0.03</v>
      </c>
      <c r="K10" s="4">
        <v>0</v>
      </c>
      <c r="L10" s="4" t="str">
        <f t="shared" si="0"/>
        <v>人民币</v>
      </c>
      <c r="O10" s="4" t="str">
        <f t="shared" si="1"/>
        <v>300100052893</v>
      </c>
    </row>
    <row r="11" spans="1:15">
      <c r="A11" s="4" t="str">
        <f>"20190621"</f>
        <v>20190621</v>
      </c>
      <c r="B11" s="4" t="str">
        <f>"0"</f>
        <v>0</v>
      </c>
      <c r="C11" s="4" t="str">
        <f>"基金红利拨入"</f>
        <v>基金红利拨入</v>
      </c>
      <c r="D11" s="4" t="str">
        <f>"AA0007"</f>
        <v>AA0007</v>
      </c>
      <c r="E11" s="4" t="str">
        <f>"银河水星1号集合"</f>
        <v>银河水星1号集合</v>
      </c>
      <c r="F11" s="4">
        <v>0</v>
      </c>
      <c r="G11" s="4">
        <v>0</v>
      </c>
      <c r="H11" s="4">
        <v>11.69</v>
      </c>
      <c r="I11" s="4">
        <v>11.69</v>
      </c>
      <c r="J11" s="4">
        <v>11.72</v>
      </c>
      <c r="K11" s="4">
        <v>0</v>
      </c>
      <c r="L11" s="4" t="str">
        <f t="shared" si="0"/>
        <v>人民币</v>
      </c>
      <c r="N11" s="4" t="str">
        <f>"980149593788"</f>
        <v>980149593788</v>
      </c>
      <c r="O11" s="4" t="str">
        <f t="shared" si="1"/>
        <v>300100052893</v>
      </c>
    </row>
    <row r="12" spans="1:15">
      <c r="A12" s="4" t="str">
        <f>"20190626"</f>
        <v>20190626</v>
      </c>
      <c r="B12" s="4" t="str">
        <f>"20190626"</f>
        <v>20190626</v>
      </c>
      <c r="C12" s="4" t="str">
        <f>"红利入账"</f>
        <v>红利入账</v>
      </c>
      <c r="D12" s="4" t="str">
        <f>"002183"</f>
        <v>002183</v>
      </c>
      <c r="E12" s="4" t="str">
        <f>"怡 亚 通"</f>
        <v>怡 亚 通</v>
      </c>
      <c r="F12" s="4">
        <v>0</v>
      </c>
      <c r="G12" s="4">
        <v>0</v>
      </c>
      <c r="H12" s="4">
        <v>100</v>
      </c>
      <c r="I12" s="4">
        <v>100</v>
      </c>
      <c r="J12" s="4">
        <v>111.72</v>
      </c>
      <c r="K12" s="4">
        <v>0</v>
      </c>
      <c r="L12" s="4" t="str">
        <f t="shared" si="0"/>
        <v>人民币</v>
      </c>
      <c r="N12" s="4" t="str">
        <f>"0149593788"</f>
        <v>0149593788</v>
      </c>
      <c r="O12" s="4" t="str">
        <f t="shared" si="1"/>
        <v>300100052893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A2" sqref="A2:K3"/>
    </sheetView>
  </sheetViews>
  <sheetFormatPr defaultColWidth="9" defaultRowHeight="13.5" outlineLevelRow="2"/>
  <cols>
    <col min="1" max="16384" width="9" style="4"/>
  </cols>
  <sheetData>
    <row r="1" spans="1:15">
      <c r="A1" s="4" t="str">
        <f>"购买日期"</f>
        <v>购买日期</v>
      </c>
      <c r="B1" s="4" t="str">
        <f>"委托日期"</f>
        <v>委托日期</v>
      </c>
      <c r="C1" s="4" t="str">
        <f>"业务类型"</f>
        <v>业务类型</v>
      </c>
      <c r="D1" s="4" t="str">
        <f>"证券代码"</f>
        <v>证券代码</v>
      </c>
      <c r="E1" s="4" t="str">
        <f>"证券名称"</f>
        <v>证券名称</v>
      </c>
      <c r="F1" s="4" t="str">
        <f>"成交价格"</f>
        <v>成交价格</v>
      </c>
      <c r="G1" s="4" t="str">
        <f>"成交数量"</f>
        <v>成交数量</v>
      </c>
      <c r="H1" s="4" t="str">
        <f>"成交金额"</f>
        <v>成交金额</v>
      </c>
      <c r="I1" s="4" t="str">
        <f>"发生金额"</f>
        <v>发生金额</v>
      </c>
      <c r="J1" s="4" t="str">
        <f>"资金余额"</f>
        <v>资金余额</v>
      </c>
      <c r="K1" s="4" t="str">
        <f>"当前持仓"</f>
        <v>当前持仓</v>
      </c>
      <c r="L1" s="4" t="str">
        <f>"币种"</f>
        <v>币种</v>
      </c>
      <c r="M1" s="4" t="str">
        <f>"协议编号"</f>
        <v>协议编号</v>
      </c>
      <c r="N1" s="4" t="str">
        <f>"股东代码"</f>
        <v>股东代码</v>
      </c>
      <c r="O1" s="4" t="str">
        <f>"产品账号"</f>
        <v>产品账号</v>
      </c>
    </row>
    <row r="2" spans="1:15">
      <c r="A2" s="4" t="str">
        <f>"20190920"</f>
        <v>20190920</v>
      </c>
      <c r="B2" s="4" t="str">
        <f>"20190920"</f>
        <v>20190920</v>
      </c>
      <c r="C2" s="4" t="str">
        <f>"利息归本"</f>
        <v>利息归本</v>
      </c>
      <c r="F2" s="4">
        <v>0</v>
      </c>
      <c r="G2" s="4">
        <v>0</v>
      </c>
      <c r="H2" s="4">
        <v>0</v>
      </c>
      <c r="I2" s="4">
        <v>0.09</v>
      </c>
      <c r="J2" s="4">
        <v>111.81</v>
      </c>
      <c r="K2" s="4">
        <v>0</v>
      </c>
      <c r="L2" s="4" t="str">
        <f>"人民币"</f>
        <v>人民币</v>
      </c>
      <c r="O2" s="4" t="str">
        <f>"300100052893"</f>
        <v>300100052893</v>
      </c>
    </row>
    <row r="3" spans="1:15">
      <c r="A3" s="4" t="str">
        <f>"20190923"</f>
        <v>20190923</v>
      </c>
      <c r="B3" s="4" t="str">
        <f>"0"</f>
        <v>0</v>
      </c>
      <c r="C3" s="4" t="str">
        <f>"基金红利拨入"</f>
        <v>基金红利拨入</v>
      </c>
      <c r="D3" s="4" t="str">
        <f>"AA0007"</f>
        <v>AA0007</v>
      </c>
      <c r="E3" s="4" t="str">
        <f>"银河水星1号集合"</f>
        <v>银河水星1号集合</v>
      </c>
      <c r="F3" s="4">
        <v>0</v>
      </c>
      <c r="G3" s="4">
        <v>0</v>
      </c>
      <c r="H3" s="4">
        <v>0</v>
      </c>
      <c r="I3" s="4">
        <v>0</v>
      </c>
      <c r="J3" s="4">
        <v>111.81</v>
      </c>
      <c r="K3" s="4">
        <v>0</v>
      </c>
      <c r="L3" s="4" t="str">
        <f>"人民币"</f>
        <v>人民币</v>
      </c>
      <c r="N3" s="4" t="str">
        <f>"980149593788"</f>
        <v>980149593788</v>
      </c>
      <c r="O3" s="4" t="str">
        <f>"300100052893"</f>
        <v>300100052893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workbookViewId="0">
      <selection activeCell="A2" sqref="A2:K18"/>
    </sheetView>
  </sheetViews>
  <sheetFormatPr defaultColWidth="9" defaultRowHeight="13.5"/>
  <cols>
    <col min="1" max="16384" width="9" style="4"/>
  </cols>
  <sheetData>
    <row r="1" spans="1:15">
      <c r="A1" s="4" t="str">
        <f>"购买日期"</f>
        <v>购买日期</v>
      </c>
      <c r="B1" s="4" t="str">
        <f>"委托日期"</f>
        <v>委托日期</v>
      </c>
      <c r="C1" s="4" t="str">
        <f>"业务类型"</f>
        <v>业务类型</v>
      </c>
      <c r="D1" s="4" t="str">
        <f>"证券代码"</f>
        <v>证券代码</v>
      </c>
      <c r="E1" s="4" t="str">
        <f>"证券名称"</f>
        <v>证券名称</v>
      </c>
      <c r="F1" s="4" t="str">
        <f>"成交价格"</f>
        <v>成交价格</v>
      </c>
      <c r="G1" s="4" t="str">
        <f>"成交数量"</f>
        <v>成交数量</v>
      </c>
      <c r="H1" s="4" t="str">
        <f>"成交金额"</f>
        <v>成交金额</v>
      </c>
      <c r="I1" s="4" t="str">
        <f>"发生金额"</f>
        <v>发生金额</v>
      </c>
      <c r="J1" s="4" t="str">
        <f>"资金余额"</f>
        <v>资金余额</v>
      </c>
      <c r="K1" s="4" t="str">
        <f>"当前持仓"</f>
        <v>当前持仓</v>
      </c>
      <c r="L1" s="4" t="str">
        <f>"币种"</f>
        <v>币种</v>
      </c>
      <c r="M1" s="4" t="str">
        <f>"协议编号"</f>
        <v>协议编号</v>
      </c>
      <c r="N1" s="4" t="str">
        <f>"股东代码"</f>
        <v>股东代码</v>
      </c>
      <c r="O1" s="4" t="str">
        <f>"产品账号"</f>
        <v>产品账号</v>
      </c>
    </row>
    <row r="2" spans="1:15">
      <c r="A2" s="4" t="str">
        <f>"20191203"</f>
        <v>20191203</v>
      </c>
      <c r="B2" s="4" t="str">
        <f>"20191203"</f>
        <v>20191203</v>
      </c>
      <c r="C2" s="4" t="str">
        <f>"股份转入"</f>
        <v>股份转入</v>
      </c>
      <c r="D2" s="4" t="str">
        <f>"511990"</f>
        <v>511990</v>
      </c>
      <c r="E2" s="4" t="str">
        <f>"华宝添益"</f>
        <v>华宝添益</v>
      </c>
      <c r="F2" s="4">
        <v>99.988</v>
      </c>
      <c r="G2" s="4">
        <v>2503</v>
      </c>
      <c r="H2" s="4">
        <v>250269.96</v>
      </c>
      <c r="I2" s="4">
        <v>0</v>
      </c>
      <c r="J2" s="4">
        <v>111.81</v>
      </c>
      <c r="K2" s="4">
        <v>2503</v>
      </c>
      <c r="L2" s="4" t="str">
        <f t="shared" ref="L2:L18" si="0">"人民币"</f>
        <v>人民币</v>
      </c>
      <c r="N2" s="4" t="str">
        <f t="shared" ref="N2:N6" si="1">"A368402599"</f>
        <v>A368402599</v>
      </c>
      <c r="O2" s="4" t="str">
        <f t="shared" ref="O2:O18" si="2">"300100052893"</f>
        <v>300100052893</v>
      </c>
    </row>
    <row r="3" spans="1:15">
      <c r="A3" s="4" t="str">
        <f>"20191203"</f>
        <v>20191203</v>
      </c>
      <c r="B3" s="4" t="str">
        <f>"20191203"</f>
        <v>20191203</v>
      </c>
      <c r="C3" s="4" t="str">
        <f>"债券兑息"</f>
        <v>债券兑息</v>
      </c>
      <c r="D3" s="4" t="str">
        <f>"128023"</f>
        <v>128023</v>
      </c>
      <c r="E3" s="4" t="str">
        <f>"亚太转债"</f>
        <v>亚太转债</v>
      </c>
      <c r="F3" s="4">
        <v>0</v>
      </c>
      <c r="G3" s="4">
        <v>0</v>
      </c>
      <c r="H3" s="4">
        <v>5</v>
      </c>
      <c r="I3" s="4">
        <v>5</v>
      </c>
      <c r="J3" s="4">
        <v>116.81</v>
      </c>
      <c r="K3" s="4">
        <v>0</v>
      </c>
      <c r="L3" s="4" t="str">
        <f t="shared" si="0"/>
        <v>人民币</v>
      </c>
      <c r="N3" s="4" t="str">
        <f>"0149593788"</f>
        <v>0149593788</v>
      </c>
      <c r="O3" s="4" t="str">
        <f t="shared" si="2"/>
        <v>300100052893</v>
      </c>
    </row>
    <row r="4" spans="1:15">
      <c r="A4" s="4" t="str">
        <f>"20191203"</f>
        <v>20191203</v>
      </c>
      <c r="B4" s="4" t="str">
        <f>"20191203"</f>
        <v>20191203</v>
      </c>
      <c r="C4" s="4" t="str">
        <f>"债券兑息兑付扣税"</f>
        <v>债券兑息兑付扣税</v>
      </c>
      <c r="D4" s="4" t="str">
        <f>"128023"</f>
        <v>128023</v>
      </c>
      <c r="E4" s="4" t="str">
        <f>"亚太转债"</f>
        <v>亚太转债</v>
      </c>
      <c r="F4" s="4">
        <v>0</v>
      </c>
      <c r="G4" s="4">
        <v>0</v>
      </c>
      <c r="H4" s="4">
        <v>1</v>
      </c>
      <c r="I4" s="4">
        <v>-1</v>
      </c>
      <c r="J4" s="4">
        <v>115.81</v>
      </c>
      <c r="K4" s="4">
        <v>0</v>
      </c>
      <c r="L4" s="4" t="str">
        <f t="shared" si="0"/>
        <v>人民币</v>
      </c>
      <c r="N4" s="4" t="str">
        <f>"0149593788"</f>
        <v>0149593788</v>
      </c>
      <c r="O4" s="4" t="str">
        <f t="shared" si="2"/>
        <v>300100052893</v>
      </c>
    </row>
    <row r="5" spans="1:15">
      <c r="A5" s="4" t="str">
        <f>"20191205"</f>
        <v>20191205</v>
      </c>
      <c r="B5" s="4" t="str">
        <f>"20191204"</f>
        <v>20191204</v>
      </c>
      <c r="C5" s="4" t="str">
        <f>"ETF 基金赎回"</f>
        <v>ETF 基金赎回</v>
      </c>
      <c r="D5" s="4" t="str">
        <f>"511991"</f>
        <v>511991</v>
      </c>
      <c r="E5" s="4" t="str">
        <f>"添益申赎"</f>
        <v>添益申赎</v>
      </c>
      <c r="F5" s="4">
        <v>0</v>
      </c>
      <c r="G5" s="4">
        <v>2503</v>
      </c>
      <c r="H5" s="4">
        <v>0</v>
      </c>
      <c r="I5" s="4">
        <v>0</v>
      </c>
      <c r="J5" s="4">
        <v>115.81</v>
      </c>
      <c r="K5" s="4">
        <v>0</v>
      </c>
      <c r="L5" s="4" t="str">
        <f t="shared" si="0"/>
        <v>人民币</v>
      </c>
      <c r="M5" s="4" t="str">
        <f>"0136000945"</f>
        <v>0136000945</v>
      </c>
      <c r="N5" s="4" t="str">
        <f t="shared" si="1"/>
        <v>A368402599</v>
      </c>
      <c r="O5" s="4" t="str">
        <f t="shared" si="2"/>
        <v>300100052893</v>
      </c>
    </row>
    <row r="6" spans="1:15">
      <c r="A6" s="4" t="str">
        <f>"20191205"</f>
        <v>20191205</v>
      </c>
      <c r="B6" s="4" t="str">
        <f>"20191204"</f>
        <v>20191204</v>
      </c>
      <c r="C6" s="4" t="str">
        <f>"ETF 申购退款"</f>
        <v>ETF 申购退款</v>
      </c>
      <c r="D6" s="4" t="str">
        <f>"511990"</f>
        <v>511990</v>
      </c>
      <c r="E6" s="4" t="str">
        <f>"华宝添益"</f>
        <v>华宝添益</v>
      </c>
      <c r="F6" s="4">
        <v>0</v>
      </c>
      <c r="G6" s="4">
        <v>0</v>
      </c>
      <c r="H6" s="4">
        <v>250332.05</v>
      </c>
      <c r="I6" s="4">
        <v>250332.05</v>
      </c>
      <c r="J6" s="4">
        <v>250447.86</v>
      </c>
      <c r="K6" s="4">
        <v>0</v>
      </c>
      <c r="L6" s="4" t="str">
        <f t="shared" si="0"/>
        <v>人民币</v>
      </c>
      <c r="N6" s="4" t="str">
        <f t="shared" si="1"/>
        <v>A368402599</v>
      </c>
      <c r="O6" s="4" t="str">
        <f t="shared" si="2"/>
        <v>300100052893</v>
      </c>
    </row>
    <row r="7" spans="1:15">
      <c r="A7" s="4" t="str">
        <f t="shared" ref="A7:A9" si="3">"20191206"</f>
        <v>20191206</v>
      </c>
      <c r="B7" s="4" t="str">
        <f t="shared" ref="B7:B9" si="4">"20191206"</f>
        <v>20191206</v>
      </c>
      <c r="C7" s="4" t="str">
        <f>"基金申购拨出"</f>
        <v>基金申购拨出</v>
      </c>
      <c r="D7" s="4" t="str">
        <f>"AA0007"</f>
        <v>AA0007</v>
      </c>
      <c r="E7" s="4" t="str">
        <f>"银河水星1号集合"</f>
        <v>银河水星1号集合</v>
      </c>
      <c r="F7" s="4">
        <v>0</v>
      </c>
      <c r="G7" s="4">
        <v>0</v>
      </c>
      <c r="H7" s="4">
        <v>0</v>
      </c>
      <c r="I7" s="4">
        <v>-250447.86</v>
      </c>
      <c r="J7" s="4">
        <v>0</v>
      </c>
      <c r="K7" s="4">
        <v>0</v>
      </c>
      <c r="L7" s="4" t="str">
        <f t="shared" si="0"/>
        <v>人民币</v>
      </c>
      <c r="N7" s="4" t="str">
        <f>"980149593788"</f>
        <v>980149593788</v>
      </c>
      <c r="O7" s="4" t="str">
        <f t="shared" si="2"/>
        <v>300100052893</v>
      </c>
    </row>
    <row r="8" spans="1:15">
      <c r="A8" s="4" t="str">
        <f t="shared" si="3"/>
        <v>20191206</v>
      </c>
      <c r="B8" s="4" t="str">
        <f t="shared" si="4"/>
        <v>20191206</v>
      </c>
      <c r="C8" s="4" t="str">
        <f>"指定交易"</f>
        <v>指定交易</v>
      </c>
      <c r="D8" s="4" t="str">
        <f>"799999"</f>
        <v>799999</v>
      </c>
      <c r="E8" s="4" t="str">
        <f>"登记指定"</f>
        <v>登记指定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 t="str">
        <f t="shared" si="0"/>
        <v>人民币</v>
      </c>
      <c r="M8" s="4" t="str">
        <f>"0136001081"</f>
        <v>0136001081</v>
      </c>
      <c r="N8" s="4" t="str">
        <f>"A608199144"</f>
        <v>A608199144</v>
      </c>
      <c r="O8" s="4" t="str">
        <f t="shared" si="2"/>
        <v>300100052893</v>
      </c>
    </row>
    <row r="9" spans="1:15">
      <c r="A9" s="4" t="str">
        <f t="shared" si="3"/>
        <v>20191206</v>
      </c>
      <c r="B9" s="4" t="str">
        <f t="shared" si="4"/>
        <v>20191206</v>
      </c>
      <c r="C9" s="4" t="str">
        <f>"指定交易"</f>
        <v>指定交易</v>
      </c>
      <c r="D9" s="4" t="str">
        <f>"799999"</f>
        <v>799999</v>
      </c>
      <c r="E9" s="4" t="str">
        <f>"登记指定"</f>
        <v>登记指定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 t="str">
        <f t="shared" si="0"/>
        <v>人民币</v>
      </c>
      <c r="M9" s="4" t="str">
        <f>"0136001082"</f>
        <v>0136001082</v>
      </c>
      <c r="N9" s="4" t="str">
        <f>"F148516965"</f>
        <v>F148516965</v>
      </c>
      <c r="O9" s="4" t="str">
        <f t="shared" si="2"/>
        <v>300100052893</v>
      </c>
    </row>
    <row r="10" spans="1:15">
      <c r="A10" s="4" t="str">
        <f>"20191209"</f>
        <v>20191209</v>
      </c>
      <c r="B10" s="4" t="str">
        <f>"20191209"</f>
        <v>20191209</v>
      </c>
      <c r="C10" s="4" t="str">
        <f>"基金赎回拨入"</f>
        <v>基金赎回拨入</v>
      </c>
      <c r="D10" s="4" t="str">
        <f>"AA0007"</f>
        <v>AA0007</v>
      </c>
      <c r="E10" s="4" t="str">
        <f>"银河水星1号集合"</f>
        <v>银河水星1号集合</v>
      </c>
      <c r="F10" s="4">
        <v>0</v>
      </c>
      <c r="G10" s="4">
        <v>28359</v>
      </c>
      <c r="H10" s="4">
        <v>0</v>
      </c>
      <c r="I10" s="4">
        <v>28359.79</v>
      </c>
      <c r="J10" s="4">
        <v>28359.79</v>
      </c>
      <c r="K10" s="4">
        <v>0</v>
      </c>
      <c r="L10" s="4" t="str">
        <f t="shared" si="0"/>
        <v>人民币</v>
      </c>
      <c r="N10" s="4" t="str">
        <f>"980149593788"</f>
        <v>980149593788</v>
      </c>
      <c r="O10" s="4" t="str">
        <f t="shared" si="2"/>
        <v>300100052893</v>
      </c>
    </row>
    <row r="11" spans="1:15">
      <c r="A11" s="4" t="str">
        <f>"20191209"</f>
        <v>20191209</v>
      </c>
      <c r="B11" s="4" t="str">
        <f>"20191209"</f>
        <v>20191209</v>
      </c>
      <c r="C11" s="4" t="str">
        <f>"证券买入"</f>
        <v>证券买入</v>
      </c>
      <c r="D11" s="4" t="str">
        <f>"000601"</f>
        <v>000601</v>
      </c>
      <c r="E11" s="4" t="str">
        <f>"韶能股份"</f>
        <v>韶能股份</v>
      </c>
      <c r="F11" s="4">
        <v>5.67</v>
      </c>
      <c r="G11" s="4">
        <v>5000</v>
      </c>
      <c r="H11" s="4">
        <v>28350</v>
      </c>
      <c r="I11" s="4">
        <v>-28358.79</v>
      </c>
      <c r="J11" s="4">
        <v>1</v>
      </c>
      <c r="K11" s="4">
        <v>5000</v>
      </c>
      <c r="L11" s="4" t="str">
        <f t="shared" si="0"/>
        <v>人民币</v>
      </c>
      <c r="M11" s="4" t="str">
        <f>"T4000467"</f>
        <v>T4000467</v>
      </c>
      <c r="N11" s="4" t="str">
        <f t="shared" ref="N11:N16" si="5">"0149593788"</f>
        <v>0149593788</v>
      </c>
      <c r="O11" s="4" t="str">
        <f t="shared" si="2"/>
        <v>300100052893</v>
      </c>
    </row>
    <row r="12" spans="1:15">
      <c r="A12" s="4" t="str">
        <f t="shared" ref="A12:A15" si="6">"20191210"</f>
        <v>20191210</v>
      </c>
      <c r="B12" s="4" t="str">
        <f t="shared" ref="B12:B15" si="7">"20191210"</f>
        <v>20191210</v>
      </c>
      <c r="C12" s="4" t="str">
        <f>"资管计划实时取现"</f>
        <v>资管计划实时取现</v>
      </c>
      <c r="D12" s="4" t="str">
        <f>"119931"</f>
        <v>119931</v>
      </c>
      <c r="E12" s="4" t="str">
        <f>"水星1号"</f>
        <v>水星1号</v>
      </c>
      <c r="F12" s="4">
        <v>0</v>
      </c>
      <c r="G12" s="4">
        <v>0</v>
      </c>
      <c r="H12" s="4">
        <v>222000</v>
      </c>
      <c r="I12" s="4">
        <v>222000</v>
      </c>
      <c r="J12" s="4">
        <v>222001</v>
      </c>
      <c r="K12" s="4">
        <v>0</v>
      </c>
      <c r="L12" s="4" t="str">
        <f t="shared" si="0"/>
        <v>人民币</v>
      </c>
      <c r="M12" s="4" t="str">
        <f>"T4000238"</f>
        <v>T4000238</v>
      </c>
      <c r="N12" s="4" t="str">
        <f t="shared" si="5"/>
        <v>0149593788</v>
      </c>
      <c r="O12" s="4" t="str">
        <f t="shared" si="2"/>
        <v>300100052893</v>
      </c>
    </row>
    <row r="13" spans="1:15">
      <c r="A13" s="4" t="str">
        <f t="shared" si="6"/>
        <v>20191210</v>
      </c>
      <c r="B13" s="4" t="str">
        <f t="shared" si="7"/>
        <v>20191210</v>
      </c>
      <c r="C13" s="4" t="str">
        <f>"证券转银行"</f>
        <v>证券转银行</v>
      </c>
      <c r="F13" s="4">
        <v>0</v>
      </c>
      <c r="G13" s="4">
        <v>0</v>
      </c>
      <c r="H13" s="4">
        <v>0</v>
      </c>
      <c r="I13" s="4">
        <v>-222000</v>
      </c>
      <c r="J13" s="4">
        <v>1</v>
      </c>
      <c r="K13" s="4">
        <v>0</v>
      </c>
      <c r="L13" s="4" t="str">
        <f t="shared" si="0"/>
        <v>人民币</v>
      </c>
      <c r="O13" s="4" t="str">
        <f t="shared" si="2"/>
        <v>300100052893</v>
      </c>
    </row>
    <row r="14" spans="1:15">
      <c r="A14" s="4" t="str">
        <f t="shared" si="6"/>
        <v>20191210</v>
      </c>
      <c r="B14" s="4" t="str">
        <f t="shared" si="7"/>
        <v>20191210</v>
      </c>
      <c r="C14" s="4" t="str">
        <f>"资管T0取现拨入"</f>
        <v>资管T0取现拨入</v>
      </c>
      <c r="D14" s="4" t="str">
        <f>"AA0007"</f>
        <v>AA0007</v>
      </c>
      <c r="E14" s="4" t="str">
        <f>"银河水星1号集合"</f>
        <v>银河水星1号集合</v>
      </c>
      <c r="F14" s="4">
        <v>0</v>
      </c>
      <c r="G14" s="4">
        <v>222000</v>
      </c>
      <c r="H14" s="4">
        <v>222000</v>
      </c>
      <c r="I14" s="4">
        <v>222000</v>
      </c>
      <c r="J14" s="4">
        <v>222001</v>
      </c>
      <c r="K14" s="4">
        <v>0</v>
      </c>
      <c r="L14" s="4" t="str">
        <f t="shared" si="0"/>
        <v>人民币</v>
      </c>
      <c r="N14" s="4" t="str">
        <f>"980149593788"</f>
        <v>980149593788</v>
      </c>
      <c r="O14" s="4" t="str">
        <f t="shared" si="2"/>
        <v>300100052893</v>
      </c>
    </row>
    <row r="15" spans="1:15">
      <c r="A15" s="4" t="str">
        <f t="shared" si="6"/>
        <v>20191210</v>
      </c>
      <c r="B15" s="4" t="str">
        <f t="shared" si="7"/>
        <v>20191210</v>
      </c>
      <c r="C15" s="4" t="str">
        <f>"资管计划实时取现"</f>
        <v>资管计划实时取现</v>
      </c>
      <c r="D15" s="4" t="str">
        <f>"119931"</f>
        <v>119931</v>
      </c>
      <c r="E15" s="4" t="str">
        <f>"水星1号"</f>
        <v>水星1号</v>
      </c>
      <c r="F15" s="4">
        <v>0</v>
      </c>
      <c r="G15" s="4">
        <v>0</v>
      </c>
      <c r="H15" s="4">
        <v>0</v>
      </c>
      <c r="I15" s="4">
        <v>-222000</v>
      </c>
      <c r="J15" s="4">
        <v>1</v>
      </c>
      <c r="K15" s="4">
        <v>0</v>
      </c>
      <c r="L15" s="4" t="str">
        <f t="shared" si="0"/>
        <v>人民币</v>
      </c>
      <c r="M15" s="4" t="str">
        <f>"T4000238"</f>
        <v>T4000238</v>
      </c>
      <c r="N15" s="4" t="str">
        <f t="shared" si="5"/>
        <v>0149593788</v>
      </c>
      <c r="O15" s="4" t="str">
        <f t="shared" si="2"/>
        <v>300100052893</v>
      </c>
    </row>
    <row r="16" spans="1:15">
      <c r="A16" s="4" t="str">
        <f>"20191216"</f>
        <v>20191216</v>
      </c>
      <c r="B16" s="4" t="str">
        <f>"20191216"</f>
        <v>20191216</v>
      </c>
      <c r="C16" s="4" t="str">
        <f>"基金上折"</f>
        <v>基金上折</v>
      </c>
      <c r="D16" s="4" t="str">
        <f>"161024"</f>
        <v>161024</v>
      </c>
      <c r="E16" s="4" t="str">
        <f>"军工分级"</f>
        <v>军工分级</v>
      </c>
      <c r="F16" s="4">
        <v>0</v>
      </c>
      <c r="G16" s="4">
        <v>28</v>
      </c>
      <c r="H16" s="4">
        <v>0</v>
      </c>
      <c r="I16" s="4">
        <v>0</v>
      </c>
      <c r="J16" s="4">
        <v>1</v>
      </c>
      <c r="K16" s="4">
        <v>1421</v>
      </c>
      <c r="L16" s="4" t="str">
        <f t="shared" si="0"/>
        <v>人民币</v>
      </c>
      <c r="N16" s="4" t="str">
        <f t="shared" si="5"/>
        <v>0149593788</v>
      </c>
      <c r="O16" s="4" t="str">
        <f t="shared" si="2"/>
        <v>300100052893</v>
      </c>
    </row>
    <row r="17" spans="1:15">
      <c r="A17" s="4" t="str">
        <f>"20191220"</f>
        <v>20191220</v>
      </c>
      <c r="B17" s="4" t="str">
        <f>"20191220"</f>
        <v>20191220</v>
      </c>
      <c r="C17" s="4" t="str">
        <f>"利息归本"</f>
        <v>利息归本</v>
      </c>
      <c r="F17" s="4">
        <v>0</v>
      </c>
      <c r="G17" s="4">
        <v>0</v>
      </c>
      <c r="H17" s="4">
        <v>0</v>
      </c>
      <c r="I17" s="4">
        <v>2.79</v>
      </c>
      <c r="J17" s="4">
        <v>3.79</v>
      </c>
      <c r="K17" s="4">
        <v>0</v>
      </c>
      <c r="L17" s="4" t="str">
        <f t="shared" si="0"/>
        <v>人民币</v>
      </c>
      <c r="O17" s="4" t="str">
        <f t="shared" si="2"/>
        <v>300100052893</v>
      </c>
    </row>
    <row r="18" spans="1:15">
      <c r="A18" s="4" t="str">
        <f>"20191223"</f>
        <v>20191223</v>
      </c>
      <c r="B18" s="4" t="str">
        <f>"0"</f>
        <v>0</v>
      </c>
      <c r="C18" s="4" t="str">
        <f>"基金红利拨入"</f>
        <v>基金红利拨入</v>
      </c>
      <c r="D18" s="4" t="str">
        <f>"AA0007"</f>
        <v>AA0007</v>
      </c>
      <c r="E18" s="4" t="str">
        <f>"银河水星1号集合"</f>
        <v>银河水星1号集合</v>
      </c>
      <c r="F18" s="4">
        <v>0</v>
      </c>
      <c r="G18" s="4">
        <v>0</v>
      </c>
      <c r="H18" s="4">
        <v>34.37</v>
      </c>
      <c r="I18" s="4">
        <v>34.37</v>
      </c>
      <c r="J18" s="4">
        <v>38.16</v>
      </c>
      <c r="K18" s="4">
        <v>0</v>
      </c>
      <c r="L18" s="4" t="str">
        <f t="shared" si="0"/>
        <v>人民币</v>
      </c>
      <c r="N18" s="4" t="str">
        <f>"980149593788"</f>
        <v>980149593788</v>
      </c>
      <c r="O18" s="4" t="str">
        <f t="shared" si="2"/>
        <v>300100052893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"/>
  <sheetViews>
    <sheetView topLeftCell="A13" workbookViewId="0">
      <selection activeCell="A13" sqref="A13"/>
    </sheetView>
  </sheetViews>
  <sheetFormatPr defaultColWidth="9" defaultRowHeight="13.5"/>
  <cols>
    <col min="1" max="1" width="12.875" style="4" customWidth="1"/>
    <col min="2" max="2" width="14.375" style="4" customWidth="1"/>
    <col min="3" max="3" width="12.625" style="4" customWidth="1"/>
    <col min="4" max="8" width="9" style="4"/>
    <col min="9" max="9" width="10.375" style="4"/>
    <col min="10" max="10" width="9.375" style="4"/>
    <col min="11" max="16384" width="9" style="4"/>
  </cols>
  <sheetData>
    <row r="1" spans="1:15">
      <c r="A1" s="4" t="str">
        <f>"购买日期"</f>
        <v>购买日期</v>
      </c>
      <c r="B1" s="4" t="str">
        <f>"委托日期"</f>
        <v>委托日期</v>
      </c>
      <c r="C1" s="4" t="str">
        <f>"业务类型"</f>
        <v>业务类型</v>
      </c>
      <c r="D1" s="4" t="str">
        <f>"证券代码"</f>
        <v>证券代码</v>
      </c>
      <c r="E1" s="4" t="str">
        <f>"证券名称"</f>
        <v>证券名称</v>
      </c>
      <c r="F1" s="4" t="str">
        <f>"成交价格"</f>
        <v>成交价格</v>
      </c>
      <c r="G1" s="4" t="str">
        <f>"成交数量"</f>
        <v>成交数量</v>
      </c>
      <c r="H1" s="4" t="str">
        <f>"成交金额"</f>
        <v>成交金额</v>
      </c>
      <c r="I1" s="4" t="str">
        <f>"发生金额"</f>
        <v>发生金额</v>
      </c>
      <c r="J1" s="4" t="str">
        <f>"资金余额"</f>
        <v>资金余额</v>
      </c>
      <c r="K1" s="4" t="str">
        <f>"当前持仓"</f>
        <v>当前持仓</v>
      </c>
      <c r="L1" s="4" t="str">
        <f>"币种"</f>
        <v>币种</v>
      </c>
      <c r="M1" s="4" t="str">
        <f>"协议编号"</f>
        <v>协议编号</v>
      </c>
      <c r="N1" s="4" t="str">
        <f>"股东代码"</f>
        <v>股东代码</v>
      </c>
      <c r="O1" s="4" t="str">
        <f>"产品账号"</f>
        <v>产品账号</v>
      </c>
    </row>
    <row r="2" spans="1:15">
      <c r="A2" s="1" t="str">
        <f>"20200121"</f>
        <v>20200121</v>
      </c>
      <c r="B2" s="1" t="str">
        <f>"20200121"</f>
        <v>20200121</v>
      </c>
      <c r="C2" s="1" t="str">
        <f>"证券买入"</f>
        <v>证券买入</v>
      </c>
      <c r="D2" s="1" t="str">
        <f>"600028"</f>
        <v>600028</v>
      </c>
      <c r="E2" s="1" t="str">
        <f>"中国石化"</f>
        <v>中国石化</v>
      </c>
      <c r="F2" s="1">
        <v>5.02</v>
      </c>
      <c r="G2" s="1">
        <v>6200</v>
      </c>
      <c r="H2" s="1">
        <v>31124</v>
      </c>
      <c r="I2" s="1">
        <v>-31134.28</v>
      </c>
      <c r="J2" s="1">
        <v>312.68</v>
      </c>
      <c r="K2" s="1">
        <v>6200</v>
      </c>
      <c r="L2" s="1" t="str">
        <f t="shared" ref="L2:L9" si="0">"人民币"</f>
        <v>人民币</v>
      </c>
      <c r="M2" s="4" t="str">
        <f>"0136003640"</f>
        <v>0136003640</v>
      </c>
      <c r="N2" s="1" t="str">
        <f>"A368402599"</f>
        <v>A368402599</v>
      </c>
      <c r="O2" s="1" t="str">
        <f t="shared" ref="O2:O9" si="1">"300100052893"</f>
        <v>300100052893</v>
      </c>
    </row>
    <row r="3" spans="1:15">
      <c r="A3" s="1" t="str">
        <f>"20200121"</f>
        <v>20200121</v>
      </c>
      <c r="B3" s="1" t="str">
        <f>"20200121"</f>
        <v>20200121</v>
      </c>
      <c r="C3" s="1" t="str">
        <f>"证券卖出"</f>
        <v>证券卖出</v>
      </c>
      <c r="D3" s="1" t="str">
        <f>"000601"</f>
        <v>000601</v>
      </c>
      <c r="E3" s="1" t="str">
        <f>"韶能股份"</f>
        <v>韶能股份</v>
      </c>
      <c r="F3" s="1">
        <v>6.29</v>
      </c>
      <c r="G3" s="1">
        <v>5000</v>
      </c>
      <c r="H3" s="1">
        <v>31450</v>
      </c>
      <c r="I3" s="1">
        <v>31408.8</v>
      </c>
      <c r="J3" s="1">
        <v>31446.96</v>
      </c>
      <c r="K3" s="1">
        <v>0</v>
      </c>
      <c r="L3" s="1" t="str">
        <f t="shared" si="0"/>
        <v>人民币</v>
      </c>
      <c r="M3" s="1" t="str">
        <f>"T4004432"</f>
        <v>T4004432</v>
      </c>
      <c r="N3" s="1" t="str">
        <f>"0149593788"</f>
        <v>0149593788</v>
      </c>
      <c r="O3" s="1" t="str">
        <f t="shared" si="1"/>
        <v>300100052893</v>
      </c>
    </row>
    <row r="4" spans="1:15">
      <c r="A4" s="1" t="str">
        <f>"20200205"</f>
        <v>20200205</v>
      </c>
      <c r="B4" s="1" t="str">
        <f>"20200205"</f>
        <v>20200205</v>
      </c>
      <c r="C4" s="1" t="str">
        <f>"股份转出"</f>
        <v>股份转出</v>
      </c>
      <c r="D4" s="1" t="str">
        <f>"600028"</f>
        <v>600028</v>
      </c>
      <c r="E4" s="1" t="str">
        <f>"中国石化"</f>
        <v>中国石化</v>
      </c>
      <c r="F4" s="1">
        <v>0</v>
      </c>
      <c r="G4" s="1">
        <v>6200</v>
      </c>
      <c r="H4" s="1">
        <v>0</v>
      </c>
      <c r="I4" s="1">
        <v>0</v>
      </c>
      <c r="J4" s="1">
        <v>312.68</v>
      </c>
      <c r="K4" s="1">
        <v>0</v>
      </c>
      <c r="L4" s="1" t="str">
        <f t="shared" si="0"/>
        <v>人民币</v>
      </c>
      <c r="N4" s="1" t="str">
        <f>"A368402599"</f>
        <v>A368402599</v>
      </c>
      <c r="O4" s="1" t="str">
        <f t="shared" si="1"/>
        <v>300100052893</v>
      </c>
    </row>
    <row r="5" spans="1:15">
      <c r="A5" s="1" t="str">
        <f>"20200210"</f>
        <v>20200210</v>
      </c>
      <c r="B5" s="1" t="str">
        <f>"20200210"</f>
        <v>20200210</v>
      </c>
      <c r="C5" s="1" t="str">
        <f>"股份转出"</f>
        <v>股份转出</v>
      </c>
      <c r="D5" s="1" t="str">
        <f>"002183"</f>
        <v>002183</v>
      </c>
      <c r="E5" s="1" t="str">
        <f>"怡 亚 通"</f>
        <v>怡 亚 通</v>
      </c>
      <c r="F5" s="1">
        <v>0</v>
      </c>
      <c r="G5" s="1">
        <v>5000</v>
      </c>
      <c r="H5" s="1">
        <v>0</v>
      </c>
      <c r="I5" s="1">
        <v>0</v>
      </c>
      <c r="J5" s="1">
        <v>312.68</v>
      </c>
      <c r="K5" s="1">
        <v>0</v>
      </c>
      <c r="L5" s="1" t="str">
        <f t="shared" si="0"/>
        <v>人民币</v>
      </c>
      <c r="M5" s="4" t="str">
        <f>"T400122500"</f>
        <v>T400122500</v>
      </c>
      <c r="N5" s="1" t="str">
        <f>"0149593788"</f>
        <v>0149593788</v>
      </c>
      <c r="O5" s="1" t="str">
        <f t="shared" si="1"/>
        <v>300100052893</v>
      </c>
    </row>
    <row r="6" spans="1:15">
      <c r="A6" s="1" t="str">
        <f>"20200305"</f>
        <v>20200305</v>
      </c>
      <c r="B6" s="1" t="str">
        <f>"20200305"</f>
        <v>20200305</v>
      </c>
      <c r="C6" s="1" t="str">
        <f>"基金申购拨出"</f>
        <v>基金申购拨出</v>
      </c>
      <c r="D6" s="1" t="str">
        <f>"AA0007"</f>
        <v>AA0007</v>
      </c>
      <c r="E6" s="1" t="str">
        <f>"银河水星1号集合"</f>
        <v>银河水星1号集合</v>
      </c>
      <c r="F6" s="1">
        <v>0</v>
      </c>
      <c r="G6" s="1">
        <v>0</v>
      </c>
      <c r="H6" s="1">
        <v>0</v>
      </c>
      <c r="I6" s="1">
        <v>-2132.18</v>
      </c>
      <c r="J6" s="1">
        <v>22180.5</v>
      </c>
      <c r="K6" s="1">
        <v>0</v>
      </c>
      <c r="L6" s="1" t="str">
        <f t="shared" si="0"/>
        <v>人民币</v>
      </c>
      <c r="N6" s="1" t="str">
        <f>"980149593788"</f>
        <v>980149593788</v>
      </c>
      <c r="O6" s="1" t="str">
        <f t="shared" si="1"/>
        <v>300100052893</v>
      </c>
    </row>
    <row r="7" spans="1:15">
      <c r="A7" s="1" t="str">
        <f>"20200305"</f>
        <v>20200305</v>
      </c>
      <c r="B7" s="1" t="str">
        <f>"20200305"</f>
        <v>20200305</v>
      </c>
      <c r="C7" s="1" t="str">
        <f>"银行转证券"</f>
        <v>银行转证券</v>
      </c>
      <c r="D7" s="6"/>
      <c r="E7" s="6"/>
      <c r="F7" s="1">
        <v>0</v>
      </c>
      <c r="G7" s="1">
        <v>0</v>
      </c>
      <c r="H7" s="1">
        <v>0</v>
      </c>
      <c r="I7" s="1">
        <v>20000</v>
      </c>
      <c r="J7" s="1">
        <v>20312.68</v>
      </c>
      <c r="K7" s="1">
        <v>0</v>
      </c>
      <c r="L7" s="1" t="str">
        <f t="shared" si="0"/>
        <v>人民币</v>
      </c>
      <c r="N7" s="6"/>
      <c r="O7" s="1" t="str">
        <f t="shared" si="1"/>
        <v>300100052893</v>
      </c>
    </row>
    <row r="8" spans="1:15">
      <c r="A8" s="1" t="str">
        <f>"20200305"</f>
        <v>20200305</v>
      </c>
      <c r="B8" s="1" t="str">
        <f>"20200305"</f>
        <v>20200305</v>
      </c>
      <c r="C8" s="1" t="str">
        <f>"银行转证券"</f>
        <v>银行转证券</v>
      </c>
      <c r="D8" s="6"/>
      <c r="E8" s="6"/>
      <c r="F8" s="1">
        <v>0</v>
      </c>
      <c r="G8" s="1">
        <v>0</v>
      </c>
      <c r="H8" s="1">
        <v>0</v>
      </c>
      <c r="I8" s="1">
        <v>4000</v>
      </c>
      <c r="J8" s="1">
        <v>24312.68</v>
      </c>
      <c r="K8" s="1">
        <v>0</v>
      </c>
      <c r="L8" s="1" t="str">
        <f t="shared" si="0"/>
        <v>人民币</v>
      </c>
      <c r="N8" s="6"/>
      <c r="O8" s="1" t="str">
        <f t="shared" si="1"/>
        <v>300100052893</v>
      </c>
    </row>
    <row r="9" spans="1:15">
      <c r="A9" s="1" t="str">
        <f>"20200309"</f>
        <v>20200309</v>
      </c>
      <c r="B9" s="1" t="str">
        <f>"20200309"</f>
        <v>20200309</v>
      </c>
      <c r="C9" s="1" t="str">
        <f>"银行转证券"</f>
        <v>银行转证券</v>
      </c>
      <c r="D9" s="6"/>
      <c r="E9" s="6"/>
      <c r="F9" s="1">
        <v>0</v>
      </c>
      <c r="G9" s="1">
        <v>0</v>
      </c>
      <c r="H9" s="1">
        <v>0</v>
      </c>
      <c r="I9" s="1">
        <v>20000</v>
      </c>
      <c r="J9" s="1">
        <v>42180.5</v>
      </c>
      <c r="K9" s="1">
        <v>0</v>
      </c>
      <c r="L9" s="1" t="str">
        <f t="shared" si="0"/>
        <v>人民币</v>
      </c>
      <c r="O9" s="1" t="str">
        <f t="shared" si="1"/>
        <v>300100052893</v>
      </c>
    </row>
    <row r="10" spans="1:15">
      <c r="A10" s="1" t="s">
        <v>107</v>
      </c>
      <c r="B10" s="1" t="s">
        <v>108</v>
      </c>
      <c r="C10" s="1" t="s">
        <v>109</v>
      </c>
      <c r="D10" s="1" t="s">
        <v>204</v>
      </c>
      <c r="E10" s="1" t="s">
        <v>110</v>
      </c>
      <c r="F10" s="1" t="s">
        <v>205</v>
      </c>
      <c r="G10" s="1" t="s">
        <v>206</v>
      </c>
      <c r="H10" s="1" t="s">
        <v>207</v>
      </c>
      <c r="I10" s="1" t="s">
        <v>208</v>
      </c>
      <c r="J10" s="1" t="s">
        <v>209</v>
      </c>
      <c r="K10" s="1" t="s">
        <v>206</v>
      </c>
      <c r="L10" s="6"/>
      <c r="N10" s="6"/>
      <c r="O10" s="6"/>
    </row>
    <row r="11" spans="1:15">
      <c r="A11" s="1" t="s">
        <v>111</v>
      </c>
      <c r="B11" s="1" t="s">
        <v>111</v>
      </c>
      <c r="C11" s="1" t="s">
        <v>94</v>
      </c>
      <c r="D11" s="1" t="s">
        <v>112</v>
      </c>
      <c r="E11" s="1" t="s">
        <v>112</v>
      </c>
      <c r="F11" s="1" t="s">
        <v>210</v>
      </c>
      <c r="G11" s="1" t="s">
        <v>211</v>
      </c>
      <c r="H11" s="1" t="s">
        <v>212</v>
      </c>
      <c r="I11" s="1" t="s">
        <v>213</v>
      </c>
      <c r="J11" s="1" t="s">
        <v>214</v>
      </c>
      <c r="K11" s="1" t="s">
        <v>211</v>
      </c>
      <c r="L11" s="6"/>
      <c r="O11" s="6"/>
    </row>
    <row r="12" spans="1:15">
      <c r="A12" s="1" t="s">
        <v>113</v>
      </c>
      <c r="B12" s="1" t="s">
        <v>107</v>
      </c>
      <c r="C12" s="1" t="s">
        <v>109</v>
      </c>
      <c r="D12" s="1" t="s">
        <v>204</v>
      </c>
      <c r="E12" s="1" t="s">
        <v>110</v>
      </c>
      <c r="F12" s="1" t="s">
        <v>215</v>
      </c>
      <c r="G12" s="1" t="s">
        <v>206</v>
      </c>
      <c r="H12" s="1" t="s">
        <v>216</v>
      </c>
      <c r="I12" s="1" t="s">
        <v>217</v>
      </c>
      <c r="J12" s="1" t="s">
        <v>218</v>
      </c>
      <c r="K12" s="1" t="s">
        <v>219</v>
      </c>
      <c r="L12" s="6"/>
      <c r="N12" s="6"/>
      <c r="O12" s="6"/>
    </row>
    <row r="13" spans="1:15">
      <c r="A13" s="1" t="s">
        <v>113</v>
      </c>
      <c r="B13" s="1" t="s">
        <v>113</v>
      </c>
      <c r="C13" s="1" t="s">
        <v>94</v>
      </c>
      <c r="D13" s="1" t="s">
        <v>112</v>
      </c>
      <c r="E13" s="1" t="s">
        <v>112</v>
      </c>
      <c r="F13" s="1" t="s">
        <v>210</v>
      </c>
      <c r="G13" s="1" t="s">
        <v>211</v>
      </c>
      <c r="H13" s="1" t="s">
        <v>212</v>
      </c>
      <c r="I13" s="1" t="s">
        <v>213</v>
      </c>
      <c r="J13" s="1" t="s">
        <v>220</v>
      </c>
      <c r="K13" s="1" t="s">
        <v>211</v>
      </c>
      <c r="L13" s="6"/>
      <c r="O13" s="6"/>
    </row>
    <row r="14" spans="1:15">
      <c r="A14" s="1" t="s">
        <v>114</v>
      </c>
      <c r="B14" s="1" t="s">
        <v>114</v>
      </c>
      <c r="C14" s="1" t="s">
        <v>94</v>
      </c>
      <c r="D14" s="1" t="s">
        <v>112</v>
      </c>
      <c r="E14" s="1" t="s">
        <v>112</v>
      </c>
      <c r="F14" s="1" t="s">
        <v>210</v>
      </c>
      <c r="G14" s="1" t="s">
        <v>211</v>
      </c>
      <c r="H14" s="1" t="s">
        <v>221</v>
      </c>
      <c r="I14" s="1" t="s">
        <v>222</v>
      </c>
      <c r="J14" s="1" t="s">
        <v>223</v>
      </c>
      <c r="K14" s="1" t="s">
        <v>211</v>
      </c>
      <c r="L14" s="6"/>
      <c r="O14" s="6"/>
    </row>
    <row r="15" spans="1:15">
      <c r="A15" s="1" t="str">
        <f>"20200313"</f>
        <v>20200313</v>
      </c>
      <c r="B15" s="1" t="str">
        <f>"20200313"</f>
        <v>20200313</v>
      </c>
      <c r="C15" s="1" t="str">
        <f>"基金申购拨出"</f>
        <v>基金申购拨出</v>
      </c>
      <c r="D15" s="1" t="str">
        <f>"AA0007"</f>
        <v>AA0007</v>
      </c>
      <c r="E15" s="1" t="str">
        <f>"银河水星1号集合"</f>
        <v>银河水星1号集合</v>
      </c>
      <c r="F15" s="1">
        <v>0</v>
      </c>
      <c r="G15" s="1">
        <v>0</v>
      </c>
      <c r="H15" s="1">
        <v>0</v>
      </c>
      <c r="I15" s="1">
        <v>-1479.6</v>
      </c>
      <c r="J15" s="1">
        <v>19267.17</v>
      </c>
      <c r="K15" s="1">
        <v>0</v>
      </c>
      <c r="L15" s="1" t="str">
        <f>"人民币"</f>
        <v>人民币</v>
      </c>
      <c r="M15" s="6"/>
      <c r="N15" s="1" t="str">
        <f>"980149593788"</f>
        <v>980149593788</v>
      </c>
      <c r="O15" s="1" t="str">
        <f>"300100052893"</f>
        <v>300100052893</v>
      </c>
    </row>
    <row r="16" spans="1:15">
      <c r="A16" s="1" t="str">
        <f>"20200313"</f>
        <v>20200313</v>
      </c>
      <c r="B16" s="1" t="str">
        <f>"20200313"</f>
        <v>20200313</v>
      </c>
      <c r="C16" s="1" t="str">
        <f>"银行转证券"</f>
        <v>银行转证券</v>
      </c>
      <c r="D16" s="6"/>
      <c r="E16" s="6"/>
      <c r="F16" s="1">
        <v>0</v>
      </c>
      <c r="G16" s="1">
        <v>0</v>
      </c>
      <c r="H16" s="1">
        <v>0</v>
      </c>
      <c r="I16" s="1">
        <v>20000</v>
      </c>
      <c r="J16" s="1">
        <v>20746.77</v>
      </c>
      <c r="K16" s="1">
        <v>0</v>
      </c>
      <c r="L16" s="1" t="str">
        <f>"人民币"</f>
        <v>人民币</v>
      </c>
      <c r="M16" s="6"/>
      <c r="N16" s="6"/>
      <c r="O16" s="1" t="str">
        <f>"300100052893"</f>
        <v>300100052893</v>
      </c>
    </row>
    <row r="17" spans="1:11">
      <c r="A17" s="1" t="s">
        <v>115</v>
      </c>
      <c r="B17" s="1" t="s">
        <v>115</v>
      </c>
      <c r="C17" s="1" t="s">
        <v>94</v>
      </c>
      <c r="D17" s="1" t="s">
        <v>112</v>
      </c>
      <c r="E17" s="1" t="s">
        <v>112</v>
      </c>
      <c r="F17" s="1" t="s">
        <v>210</v>
      </c>
      <c r="G17" s="1" t="s">
        <v>211</v>
      </c>
      <c r="H17" s="1" t="s">
        <v>212</v>
      </c>
      <c r="I17" s="1" t="s">
        <v>213</v>
      </c>
      <c r="J17" s="1" t="s">
        <v>224</v>
      </c>
      <c r="K17" s="1" t="s">
        <v>211</v>
      </c>
    </row>
    <row r="18" spans="1:11">
      <c r="A18" s="1" t="s">
        <v>116</v>
      </c>
      <c r="B18" s="1" t="s">
        <v>116</v>
      </c>
      <c r="C18" s="1" t="s">
        <v>94</v>
      </c>
      <c r="D18" s="1" t="s">
        <v>112</v>
      </c>
      <c r="E18" s="1" t="s">
        <v>112</v>
      </c>
      <c r="F18" s="1" t="s">
        <v>210</v>
      </c>
      <c r="G18" s="1" t="s">
        <v>211</v>
      </c>
      <c r="H18" s="1" t="s">
        <v>225</v>
      </c>
      <c r="I18" s="1" t="s">
        <v>226</v>
      </c>
      <c r="J18" s="1" t="s">
        <v>227</v>
      </c>
      <c r="K18" s="1" t="s">
        <v>211</v>
      </c>
    </row>
    <row r="19" spans="1:11">
      <c r="A19" s="1" t="s">
        <v>117</v>
      </c>
      <c r="B19" s="1" t="s">
        <v>115</v>
      </c>
      <c r="C19" s="1" t="s">
        <v>109</v>
      </c>
      <c r="D19" s="1" t="s">
        <v>204</v>
      </c>
      <c r="E19" s="1" t="s">
        <v>110</v>
      </c>
      <c r="F19" s="1" t="s">
        <v>228</v>
      </c>
      <c r="G19" s="1" t="s">
        <v>206</v>
      </c>
      <c r="H19" s="1" t="s">
        <v>229</v>
      </c>
      <c r="I19" s="1" t="s">
        <v>230</v>
      </c>
      <c r="J19" s="1" t="s">
        <v>231</v>
      </c>
      <c r="K19" s="1" t="s">
        <v>232</v>
      </c>
    </row>
    <row r="20" spans="1:11">
      <c r="A20" s="1" t="s">
        <v>117</v>
      </c>
      <c r="B20" s="1" t="s">
        <v>117</v>
      </c>
      <c r="C20" s="1" t="s">
        <v>94</v>
      </c>
      <c r="D20" s="1" t="s">
        <v>112</v>
      </c>
      <c r="E20" s="1" t="s">
        <v>112</v>
      </c>
      <c r="F20" s="1" t="s">
        <v>210</v>
      </c>
      <c r="G20" s="1" t="s">
        <v>211</v>
      </c>
      <c r="H20" s="1" t="s">
        <v>212</v>
      </c>
      <c r="I20" s="1" t="s">
        <v>213</v>
      </c>
      <c r="J20" s="1" t="s">
        <v>233</v>
      </c>
      <c r="K20" s="1" t="s">
        <v>211</v>
      </c>
    </row>
    <row r="21" spans="1:11">
      <c r="A21" s="1" t="s">
        <v>118</v>
      </c>
      <c r="B21" s="1" t="s">
        <v>118</v>
      </c>
      <c r="C21" s="1" t="s">
        <v>94</v>
      </c>
      <c r="D21" s="1" t="s">
        <v>112</v>
      </c>
      <c r="E21" s="1" t="s">
        <v>112</v>
      </c>
      <c r="F21" s="1" t="s">
        <v>210</v>
      </c>
      <c r="G21" s="1" t="s">
        <v>211</v>
      </c>
      <c r="H21" s="1" t="s">
        <v>221</v>
      </c>
      <c r="I21" s="1" t="s">
        <v>222</v>
      </c>
      <c r="J21" s="1" t="s">
        <v>234</v>
      </c>
      <c r="K21" s="1" t="s">
        <v>211</v>
      </c>
    </row>
    <row r="22" spans="1:15">
      <c r="A22" s="1" t="str">
        <f>"20200319"</f>
        <v>20200319</v>
      </c>
      <c r="B22" s="1" t="str">
        <f>"20200319"</f>
        <v>20200319</v>
      </c>
      <c r="C22" s="1" t="str">
        <f>"基金赎回拨入"</f>
        <v>基金赎回拨入</v>
      </c>
      <c r="D22" s="1" t="str">
        <f>"AA0007"</f>
        <v>AA0007</v>
      </c>
      <c r="E22" s="1" t="str">
        <f>"银河水星1号集合"</f>
        <v>银河水星1号集合</v>
      </c>
      <c r="F22" s="1">
        <v>0</v>
      </c>
      <c r="G22" s="1">
        <v>3700</v>
      </c>
      <c r="H22" s="1">
        <v>0</v>
      </c>
      <c r="I22" s="1">
        <v>3700.62</v>
      </c>
      <c r="J22" s="1">
        <v>24296.09</v>
      </c>
      <c r="K22" s="1">
        <v>0</v>
      </c>
      <c r="L22" s="4" t="str">
        <f>"人民币"</f>
        <v>人民币</v>
      </c>
      <c r="N22" s="4" t="str">
        <f>"980149593788"</f>
        <v>980149593788</v>
      </c>
      <c r="O22" s="4" t="str">
        <f>"300100052893"</f>
        <v>300100052893</v>
      </c>
    </row>
    <row r="23" spans="1:15">
      <c r="A23" s="1" t="str">
        <f>"20200319"</f>
        <v>20200319</v>
      </c>
      <c r="B23" s="1" t="str">
        <f>"20200319"</f>
        <v>20200319</v>
      </c>
      <c r="C23" s="1" t="str">
        <f>"银行转证券"</f>
        <v>银行转证券</v>
      </c>
      <c r="D23" s="6"/>
      <c r="E23" s="6"/>
      <c r="F23" s="1">
        <v>0</v>
      </c>
      <c r="G23" s="1">
        <v>0</v>
      </c>
      <c r="H23" s="1">
        <v>0</v>
      </c>
      <c r="I23" s="1">
        <v>20000</v>
      </c>
      <c r="J23" s="1">
        <v>20545.47</v>
      </c>
      <c r="K23" s="1">
        <v>0</v>
      </c>
      <c r="L23" s="4" t="str">
        <f>"人民币"</f>
        <v>人民币</v>
      </c>
      <c r="O23" s="4" t="str">
        <f>"300100052893"</f>
        <v>300100052893</v>
      </c>
    </row>
    <row r="24" spans="1:15">
      <c r="A24" s="1" t="str">
        <f>"20200319"</f>
        <v>20200319</v>
      </c>
      <c r="B24" s="1" t="str">
        <f>"20200319"</f>
        <v>20200319</v>
      </c>
      <c r="C24" s="1" t="str">
        <f>"银行转证券"</f>
        <v>银行转证券</v>
      </c>
      <c r="D24" s="6"/>
      <c r="E24" s="6"/>
      <c r="F24" s="1">
        <v>0</v>
      </c>
      <c r="G24" s="1">
        <v>0</v>
      </c>
      <c r="H24" s="1">
        <v>0</v>
      </c>
      <c r="I24" s="1">
        <v>50</v>
      </c>
      <c r="J24" s="1">
        <v>20595.47</v>
      </c>
      <c r="K24" s="1">
        <v>0</v>
      </c>
      <c r="L24" s="4" t="str">
        <f>"人民币"</f>
        <v>人民币</v>
      </c>
      <c r="O24" s="4" t="str">
        <f>"300100052893"</f>
        <v>300100052893</v>
      </c>
    </row>
    <row r="25" spans="1:11">
      <c r="A25" s="1" t="s">
        <v>119</v>
      </c>
      <c r="B25" s="1" t="s">
        <v>119</v>
      </c>
      <c r="C25" s="1" t="s">
        <v>94</v>
      </c>
      <c r="D25" s="1" t="s">
        <v>112</v>
      </c>
      <c r="E25" s="1" t="s">
        <v>112</v>
      </c>
      <c r="F25" s="1" t="s">
        <v>210</v>
      </c>
      <c r="G25" s="1" t="s">
        <v>211</v>
      </c>
      <c r="H25" s="1" t="s">
        <v>221</v>
      </c>
      <c r="I25" s="1" t="s">
        <v>222</v>
      </c>
      <c r="J25" s="1" t="s">
        <v>235</v>
      </c>
      <c r="K25" s="1" t="s">
        <v>211</v>
      </c>
    </row>
    <row r="26" spans="1:15">
      <c r="A26" s="1" t="str">
        <f>"20200320"</f>
        <v>20200320</v>
      </c>
      <c r="B26" s="1" t="str">
        <f>"20200320"</f>
        <v>20200320</v>
      </c>
      <c r="C26" s="1" t="str">
        <f>"利息归本"</f>
        <v>利息归本</v>
      </c>
      <c r="D26" s="6"/>
      <c r="E26" s="6"/>
      <c r="F26" s="1">
        <v>0</v>
      </c>
      <c r="G26" s="1">
        <v>0</v>
      </c>
      <c r="H26" s="1">
        <v>0</v>
      </c>
      <c r="I26" s="1">
        <v>2.47</v>
      </c>
      <c r="J26" s="1">
        <v>24298.54</v>
      </c>
      <c r="K26" s="1">
        <v>0</v>
      </c>
      <c r="L26" s="4" t="str">
        <f>"人民币"</f>
        <v>人民币</v>
      </c>
      <c r="M26"/>
      <c r="N26"/>
      <c r="O26" s="4" t="str">
        <f>"300100052893"</f>
        <v>300100052893</v>
      </c>
    </row>
    <row r="27" spans="1:11">
      <c r="A27" s="1" t="s">
        <v>120</v>
      </c>
      <c r="B27" s="1" t="s">
        <v>120</v>
      </c>
      <c r="C27" s="1" t="s">
        <v>94</v>
      </c>
      <c r="D27" s="1" t="s">
        <v>112</v>
      </c>
      <c r="E27" s="1" t="s">
        <v>112</v>
      </c>
      <c r="F27" s="1" t="s">
        <v>210</v>
      </c>
      <c r="G27" s="1" t="s">
        <v>211</v>
      </c>
      <c r="H27" s="1" t="s">
        <v>221</v>
      </c>
      <c r="I27" s="1" t="s">
        <v>222</v>
      </c>
      <c r="J27" s="1" t="s">
        <v>236</v>
      </c>
      <c r="K27" s="1" t="s">
        <v>211</v>
      </c>
    </row>
    <row r="28" spans="1:15">
      <c r="A28" s="1" t="str">
        <f>"20200323"</f>
        <v>20200323</v>
      </c>
      <c r="B28" s="1" t="str">
        <f>"0"</f>
        <v>0</v>
      </c>
      <c r="C28" s="1" t="str">
        <f>"基金红利拨入"</f>
        <v>基金红利拨入</v>
      </c>
      <c r="D28" s="1" t="str">
        <f>"AA0007"</f>
        <v>AA0007</v>
      </c>
      <c r="E28" s="1" t="str">
        <f>"银河水星1号集合"</f>
        <v>银河水星1号集合</v>
      </c>
      <c r="F28" s="1">
        <v>0</v>
      </c>
      <c r="G28" s="1">
        <v>0</v>
      </c>
      <c r="H28" s="1">
        <v>2.04</v>
      </c>
      <c r="I28" s="1">
        <v>2.04</v>
      </c>
      <c r="J28" s="1">
        <v>24300.56</v>
      </c>
      <c r="K28" s="1">
        <v>0</v>
      </c>
      <c r="L28" s="4" t="str">
        <f>"人民币"</f>
        <v>人民币</v>
      </c>
      <c r="M28"/>
      <c r="N28" s="4" t="str">
        <f>"980149593788"</f>
        <v>980149593788</v>
      </c>
      <c r="O28" s="4" t="str">
        <f>"300100052893"</f>
        <v>300100052893</v>
      </c>
    </row>
    <row r="29" spans="1:11">
      <c r="A29" s="4" t="s">
        <v>121</v>
      </c>
      <c r="B29" s="4" t="s">
        <v>119</v>
      </c>
      <c r="C29" s="4" t="s">
        <v>109</v>
      </c>
      <c r="D29" s="4" t="s">
        <v>204</v>
      </c>
      <c r="E29" s="4" t="s">
        <v>110</v>
      </c>
      <c r="F29" s="4" t="s">
        <v>237</v>
      </c>
      <c r="G29" s="4" t="s">
        <v>238</v>
      </c>
      <c r="H29" s="4" t="s">
        <v>239</v>
      </c>
      <c r="I29" s="4" t="s">
        <v>240</v>
      </c>
      <c r="J29" s="4" t="s">
        <v>241</v>
      </c>
      <c r="K29" s="4" t="s">
        <v>242</v>
      </c>
    </row>
    <row r="30" spans="1:11">
      <c r="A30" s="4" t="s">
        <v>121</v>
      </c>
      <c r="B30" s="4" t="s">
        <v>121</v>
      </c>
      <c r="C30" s="4" t="s">
        <v>94</v>
      </c>
      <c r="D30" s="4" t="s">
        <v>112</v>
      </c>
      <c r="E30" s="4" t="s">
        <v>112</v>
      </c>
      <c r="F30" s="4" t="s">
        <v>210</v>
      </c>
      <c r="G30" s="4" t="s">
        <v>211</v>
      </c>
      <c r="H30" s="4" t="s">
        <v>243</v>
      </c>
      <c r="I30" s="4" t="s">
        <v>244</v>
      </c>
      <c r="J30" s="4" t="s">
        <v>245</v>
      </c>
      <c r="K30" s="4" t="s">
        <v>211</v>
      </c>
    </row>
    <row r="31" spans="1:11">
      <c r="A31" s="4" t="s">
        <v>122</v>
      </c>
      <c r="B31" s="4" t="s">
        <v>122</v>
      </c>
      <c r="C31" s="4" t="s">
        <v>94</v>
      </c>
      <c r="D31" s="4" t="s">
        <v>112</v>
      </c>
      <c r="E31" s="4" t="s">
        <v>112</v>
      </c>
      <c r="F31" s="4" t="s">
        <v>210</v>
      </c>
      <c r="G31" s="4" t="s">
        <v>211</v>
      </c>
      <c r="H31" s="4" t="s">
        <v>221</v>
      </c>
      <c r="I31" s="4" t="s">
        <v>222</v>
      </c>
      <c r="J31" s="4" t="s">
        <v>246</v>
      </c>
      <c r="K31" s="4" t="s">
        <v>211</v>
      </c>
    </row>
    <row r="32" spans="1:11">
      <c r="A32" s="4" t="s">
        <v>123</v>
      </c>
      <c r="B32" s="4" t="s">
        <v>123</v>
      </c>
      <c r="C32" s="4" t="s">
        <v>94</v>
      </c>
      <c r="D32" s="4" t="s">
        <v>112</v>
      </c>
      <c r="E32" s="4" t="s">
        <v>112</v>
      </c>
      <c r="F32" s="4" t="s">
        <v>210</v>
      </c>
      <c r="G32" s="4" t="s">
        <v>211</v>
      </c>
      <c r="H32" s="4" t="s">
        <v>221</v>
      </c>
      <c r="I32" s="4" t="s">
        <v>222</v>
      </c>
      <c r="J32" s="4" t="s">
        <v>247</v>
      </c>
      <c r="K32" s="4" t="s">
        <v>211</v>
      </c>
    </row>
    <row r="33" spans="1:11">
      <c r="A33" s="4" t="s">
        <v>124</v>
      </c>
      <c r="B33" s="4" t="s">
        <v>124</v>
      </c>
      <c r="C33" s="4" t="s">
        <v>94</v>
      </c>
      <c r="D33" s="4" t="s">
        <v>112</v>
      </c>
      <c r="E33" s="4" t="s">
        <v>112</v>
      </c>
      <c r="F33" s="4" t="s">
        <v>210</v>
      </c>
      <c r="G33" s="4" t="s">
        <v>211</v>
      </c>
      <c r="H33" s="4" t="s">
        <v>225</v>
      </c>
      <c r="I33" s="4" t="s">
        <v>226</v>
      </c>
      <c r="J33" s="4" t="s">
        <v>248</v>
      </c>
      <c r="K33" s="4" t="s">
        <v>211</v>
      </c>
    </row>
    <row r="34" spans="1:11">
      <c r="A34" s="4" t="s">
        <v>125</v>
      </c>
      <c r="B34" s="4" t="s">
        <v>125</v>
      </c>
      <c r="C34" s="4" t="s">
        <v>94</v>
      </c>
      <c r="D34" s="4" t="s">
        <v>112</v>
      </c>
      <c r="E34" s="4" t="s">
        <v>112</v>
      </c>
      <c r="F34" s="4" t="s">
        <v>210</v>
      </c>
      <c r="G34" s="4" t="s">
        <v>211</v>
      </c>
      <c r="H34" s="4" t="s">
        <v>225</v>
      </c>
      <c r="I34" s="4" t="s">
        <v>226</v>
      </c>
      <c r="J34" s="4" t="s">
        <v>249</v>
      </c>
      <c r="K34" s="4" t="s">
        <v>211</v>
      </c>
    </row>
    <row r="35" spans="1:11">
      <c r="A35" s="4" t="s">
        <v>126</v>
      </c>
      <c r="B35" s="4" t="s">
        <v>126</v>
      </c>
      <c r="C35" s="4" t="s">
        <v>94</v>
      </c>
      <c r="D35" s="4" t="s">
        <v>112</v>
      </c>
      <c r="E35" s="4" t="s">
        <v>112</v>
      </c>
      <c r="F35" s="4" t="s">
        <v>210</v>
      </c>
      <c r="G35" s="4" t="s">
        <v>211</v>
      </c>
      <c r="H35" s="4" t="s">
        <v>250</v>
      </c>
      <c r="I35" s="4" t="s">
        <v>251</v>
      </c>
      <c r="J35" s="4" t="s">
        <v>252</v>
      </c>
      <c r="K35" s="4" t="s">
        <v>211</v>
      </c>
    </row>
    <row r="36" spans="1:11">
      <c r="A36" s="4" t="s">
        <v>127</v>
      </c>
      <c r="B36" s="4" t="s">
        <v>127</v>
      </c>
      <c r="C36" s="4" t="s">
        <v>94</v>
      </c>
      <c r="D36" s="4" t="s">
        <v>112</v>
      </c>
      <c r="E36" s="4" t="s">
        <v>112</v>
      </c>
      <c r="F36" s="4" t="s">
        <v>210</v>
      </c>
      <c r="G36" s="4" t="s">
        <v>211</v>
      </c>
      <c r="H36" s="4" t="s">
        <v>225</v>
      </c>
      <c r="I36" s="4" t="s">
        <v>226</v>
      </c>
      <c r="J36" s="4" t="s">
        <v>253</v>
      </c>
      <c r="K36" s="4" t="s">
        <v>211</v>
      </c>
    </row>
  </sheetData>
  <sortState ref="A2:O36">
    <sortCondition ref="A2"/>
  </sortState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1"/>
  <sheetViews>
    <sheetView workbookViewId="0">
      <selection activeCell="A15" sqref="A15"/>
    </sheetView>
  </sheetViews>
  <sheetFormatPr defaultColWidth="9" defaultRowHeight="13.5"/>
  <cols>
    <col min="1" max="16384" width="9" style="4"/>
  </cols>
  <sheetData>
    <row r="1" spans="1:28">
      <c r="A1" s="4" t="s">
        <v>254</v>
      </c>
      <c r="B1" s="4" t="s">
        <v>255</v>
      </c>
      <c r="C1" s="4" t="s">
        <v>256</v>
      </c>
      <c r="D1" s="4" t="s">
        <v>257</v>
      </c>
      <c r="E1" s="4" t="s">
        <v>258</v>
      </c>
      <c r="F1" s="4" t="s">
        <v>259</v>
      </c>
      <c r="G1" s="4" t="s">
        <v>260</v>
      </c>
      <c r="H1" s="4" t="s">
        <v>261</v>
      </c>
      <c r="I1" s="4" t="s">
        <v>262</v>
      </c>
      <c r="J1" s="4" t="s">
        <v>263</v>
      </c>
      <c r="K1" s="4" t="s">
        <v>264</v>
      </c>
      <c r="L1" s="4" t="s">
        <v>265</v>
      </c>
      <c r="M1" s="4" t="s">
        <v>266</v>
      </c>
      <c r="N1" s="4" t="s">
        <v>267</v>
      </c>
      <c r="O1" s="4" t="s">
        <v>268</v>
      </c>
      <c r="P1" s="4" t="s">
        <v>269</v>
      </c>
      <c r="Q1" s="4" t="s">
        <v>270</v>
      </c>
      <c r="R1" s="4" t="s">
        <v>271</v>
      </c>
      <c r="S1" s="4" t="s">
        <v>272</v>
      </c>
      <c r="T1" s="4" t="s">
        <v>273</v>
      </c>
      <c r="U1" s="4" t="s">
        <v>274</v>
      </c>
      <c r="V1" s="4" t="s">
        <v>275</v>
      </c>
      <c r="W1" s="4" t="s">
        <v>276</v>
      </c>
      <c r="X1" s="4" t="s">
        <v>277</v>
      </c>
      <c r="Y1" s="4" t="s">
        <v>278</v>
      </c>
      <c r="Z1" s="4" t="s">
        <v>279</v>
      </c>
      <c r="AA1" s="4" t="s">
        <v>280</v>
      </c>
      <c r="AB1" s="4" t="s">
        <v>281</v>
      </c>
    </row>
    <row r="2" spans="1:28">
      <c r="A2" s="4" t="s">
        <v>107</v>
      </c>
      <c r="B2" s="4" t="s">
        <v>108</v>
      </c>
      <c r="C2" s="4" t="s">
        <v>108</v>
      </c>
      <c r="D2" s="4" t="s">
        <v>282</v>
      </c>
      <c r="E2" s="4" t="s">
        <v>109</v>
      </c>
      <c r="F2" s="4" t="s">
        <v>204</v>
      </c>
      <c r="G2" s="4" t="s">
        <v>110</v>
      </c>
      <c r="H2" s="4" t="s">
        <v>205</v>
      </c>
      <c r="I2" s="4" t="s">
        <v>206</v>
      </c>
      <c r="J2" s="4" t="s">
        <v>207</v>
      </c>
      <c r="K2" s="4" t="s">
        <v>208</v>
      </c>
      <c r="L2" s="4" t="s">
        <v>283</v>
      </c>
      <c r="M2" s="4" t="s">
        <v>284</v>
      </c>
      <c r="N2" s="4" t="s">
        <v>209</v>
      </c>
      <c r="O2" s="4" t="s">
        <v>206</v>
      </c>
      <c r="P2" s="4" t="s">
        <v>285</v>
      </c>
      <c r="Q2" s="4" t="s">
        <v>286</v>
      </c>
      <c r="R2" s="4" t="s">
        <v>287</v>
      </c>
      <c r="S2" s="4" t="s">
        <v>288</v>
      </c>
      <c r="T2" s="4" t="s">
        <v>210</v>
      </c>
      <c r="U2" s="4" t="s">
        <v>289</v>
      </c>
      <c r="V2" s="4" t="s">
        <v>290</v>
      </c>
      <c r="W2" s="4" t="s">
        <v>221</v>
      </c>
      <c r="X2" s="4" t="s">
        <v>291</v>
      </c>
      <c r="Y2" s="4" t="s">
        <v>292</v>
      </c>
      <c r="Z2" s="4" t="s">
        <v>293</v>
      </c>
      <c r="AA2" s="4" t="s">
        <v>294</v>
      </c>
      <c r="AB2" s="4" t="s">
        <v>295</v>
      </c>
    </row>
    <row r="3" spans="1:28">
      <c r="A3" s="4" t="s">
        <v>111</v>
      </c>
      <c r="B3" s="4" t="s">
        <v>111</v>
      </c>
      <c r="C3" s="4" t="s">
        <v>211</v>
      </c>
      <c r="D3" s="4" t="s">
        <v>296</v>
      </c>
      <c r="E3" s="4" t="s">
        <v>94</v>
      </c>
      <c r="F3" s="4" t="s">
        <v>112</v>
      </c>
      <c r="G3" s="4" t="s">
        <v>112</v>
      </c>
      <c r="H3" s="4" t="s">
        <v>210</v>
      </c>
      <c r="I3" s="4" t="s">
        <v>211</v>
      </c>
      <c r="J3" s="4" t="s">
        <v>212</v>
      </c>
      <c r="K3" s="4" t="s">
        <v>213</v>
      </c>
      <c r="L3" s="4" t="s">
        <v>210</v>
      </c>
      <c r="M3" s="4" t="s">
        <v>297</v>
      </c>
      <c r="N3" s="4" t="s">
        <v>214</v>
      </c>
      <c r="O3" s="4" t="s">
        <v>211</v>
      </c>
      <c r="P3" s="4" t="s">
        <v>210</v>
      </c>
      <c r="Q3" s="4" t="s">
        <v>210</v>
      </c>
      <c r="R3" s="4" t="s">
        <v>210</v>
      </c>
      <c r="S3" s="4" t="s">
        <v>210</v>
      </c>
      <c r="T3" s="4" t="s">
        <v>210</v>
      </c>
      <c r="U3" s="4" t="s">
        <v>210</v>
      </c>
      <c r="V3" s="4" t="s">
        <v>210</v>
      </c>
      <c r="W3" s="4" t="s">
        <v>210</v>
      </c>
      <c r="X3" s="4" t="s">
        <v>298</v>
      </c>
      <c r="Y3" s="4" t="s">
        <v>211</v>
      </c>
      <c r="Z3" s="4" t="s">
        <v>211</v>
      </c>
      <c r="AA3" s="4" t="s">
        <v>294</v>
      </c>
      <c r="AB3" s="4" t="s">
        <v>295</v>
      </c>
    </row>
    <row r="4" spans="1:28">
      <c r="A4" s="4" t="s">
        <v>113</v>
      </c>
      <c r="B4" s="4" t="s">
        <v>107</v>
      </c>
      <c r="C4" s="4" t="s">
        <v>107</v>
      </c>
      <c r="D4" s="4" t="s">
        <v>299</v>
      </c>
      <c r="E4" s="4" t="s">
        <v>109</v>
      </c>
      <c r="F4" s="4" t="s">
        <v>204</v>
      </c>
      <c r="G4" s="4" t="s">
        <v>110</v>
      </c>
      <c r="H4" s="4" t="s">
        <v>215</v>
      </c>
      <c r="I4" s="4" t="s">
        <v>206</v>
      </c>
      <c r="J4" s="4" t="s">
        <v>216</v>
      </c>
      <c r="K4" s="4" t="s">
        <v>217</v>
      </c>
      <c r="L4" s="4" t="s">
        <v>283</v>
      </c>
      <c r="M4" s="4" t="s">
        <v>300</v>
      </c>
      <c r="N4" s="4" t="s">
        <v>218</v>
      </c>
      <c r="O4" s="4" t="s">
        <v>219</v>
      </c>
      <c r="P4" s="4" t="s">
        <v>301</v>
      </c>
      <c r="Q4" s="4" t="s">
        <v>302</v>
      </c>
      <c r="R4" s="4" t="s">
        <v>287</v>
      </c>
      <c r="S4" s="4" t="s">
        <v>303</v>
      </c>
      <c r="T4" s="4" t="s">
        <v>210</v>
      </c>
      <c r="U4" s="4" t="s">
        <v>289</v>
      </c>
      <c r="V4" s="4" t="s">
        <v>304</v>
      </c>
      <c r="W4" s="4" t="s">
        <v>305</v>
      </c>
      <c r="X4" s="4" t="s">
        <v>306</v>
      </c>
      <c r="Y4" s="4" t="s">
        <v>307</v>
      </c>
      <c r="Z4" s="4" t="s">
        <v>308</v>
      </c>
      <c r="AA4" s="4" t="s">
        <v>294</v>
      </c>
      <c r="AB4" s="4" t="s">
        <v>295</v>
      </c>
    </row>
    <row r="5" spans="1:28">
      <c r="A5" s="4" t="s">
        <v>113</v>
      </c>
      <c r="B5" s="4" t="s">
        <v>113</v>
      </c>
      <c r="C5" s="4" t="s">
        <v>211</v>
      </c>
      <c r="D5" s="4" t="s">
        <v>296</v>
      </c>
      <c r="E5" s="4" t="s">
        <v>94</v>
      </c>
      <c r="F5" s="4" t="s">
        <v>112</v>
      </c>
      <c r="G5" s="4" t="s">
        <v>112</v>
      </c>
      <c r="H5" s="4" t="s">
        <v>210</v>
      </c>
      <c r="I5" s="4" t="s">
        <v>211</v>
      </c>
      <c r="J5" s="4" t="s">
        <v>212</v>
      </c>
      <c r="K5" s="4" t="s">
        <v>213</v>
      </c>
      <c r="L5" s="4" t="s">
        <v>210</v>
      </c>
      <c r="M5" s="4" t="s">
        <v>297</v>
      </c>
      <c r="N5" s="4" t="s">
        <v>220</v>
      </c>
      <c r="O5" s="4" t="s">
        <v>211</v>
      </c>
      <c r="P5" s="4" t="s">
        <v>210</v>
      </c>
      <c r="Q5" s="4" t="s">
        <v>210</v>
      </c>
      <c r="R5" s="4" t="s">
        <v>210</v>
      </c>
      <c r="S5" s="4" t="s">
        <v>210</v>
      </c>
      <c r="T5" s="4" t="s">
        <v>210</v>
      </c>
      <c r="U5" s="4" t="s">
        <v>210</v>
      </c>
      <c r="V5" s="4" t="s">
        <v>210</v>
      </c>
      <c r="W5" s="4" t="s">
        <v>210</v>
      </c>
      <c r="X5" s="4" t="s">
        <v>298</v>
      </c>
      <c r="Y5" s="4" t="s">
        <v>211</v>
      </c>
      <c r="Z5" s="4" t="s">
        <v>211</v>
      </c>
      <c r="AA5" s="4" t="s">
        <v>294</v>
      </c>
      <c r="AB5" s="4" t="s">
        <v>295</v>
      </c>
    </row>
    <row r="6" spans="1:28">
      <c r="A6" s="4" t="s">
        <v>114</v>
      </c>
      <c r="B6" s="4" t="s">
        <v>114</v>
      </c>
      <c r="C6" s="4" t="s">
        <v>211</v>
      </c>
      <c r="D6" s="4" t="s">
        <v>296</v>
      </c>
      <c r="E6" s="4" t="s">
        <v>94</v>
      </c>
      <c r="F6" s="4" t="s">
        <v>112</v>
      </c>
      <c r="G6" s="4" t="s">
        <v>112</v>
      </c>
      <c r="H6" s="4" t="s">
        <v>210</v>
      </c>
      <c r="I6" s="4" t="s">
        <v>211</v>
      </c>
      <c r="J6" s="4" t="s">
        <v>221</v>
      </c>
      <c r="K6" s="4" t="s">
        <v>222</v>
      </c>
      <c r="L6" s="4" t="s">
        <v>210</v>
      </c>
      <c r="M6" s="4" t="s">
        <v>297</v>
      </c>
      <c r="N6" s="4" t="s">
        <v>223</v>
      </c>
      <c r="O6" s="4" t="s">
        <v>211</v>
      </c>
      <c r="P6" s="4" t="s">
        <v>210</v>
      </c>
      <c r="Q6" s="4" t="s">
        <v>210</v>
      </c>
      <c r="R6" s="4" t="s">
        <v>210</v>
      </c>
      <c r="S6" s="4" t="s">
        <v>210</v>
      </c>
      <c r="T6" s="4" t="s">
        <v>210</v>
      </c>
      <c r="U6" s="4" t="s">
        <v>210</v>
      </c>
      <c r="V6" s="4" t="s">
        <v>210</v>
      </c>
      <c r="W6" s="4" t="s">
        <v>210</v>
      </c>
      <c r="X6" s="4" t="s">
        <v>298</v>
      </c>
      <c r="Y6" s="4" t="s">
        <v>211</v>
      </c>
      <c r="Z6" s="4" t="s">
        <v>211</v>
      </c>
      <c r="AA6" s="4" t="s">
        <v>294</v>
      </c>
      <c r="AB6" s="4" t="s">
        <v>295</v>
      </c>
    </row>
    <row r="7" spans="1:28">
      <c r="A7" s="4" t="s">
        <v>115</v>
      </c>
      <c r="B7" s="4" t="s">
        <v>115</v>
      </c>
      <c r="C7" s="4" t="s">
        <v>211</v>
      </c>
      <c r="D7" s="4" t="s">
        <v>296</v>
      </c>
      <c r="E7" s="4" t="s">
        <v>94</v>
      </c>
      <c r="F7" s="4" t="s">
        <v>112</v>
      </c>
      <c r="G7" s="4" t="s">
        <v>112</v>
      </c>
      <c r="H7" s="4" t="s">
        <v>210</v>
      </c>
      <c r="I7" s="4" t="s">
        <v>211</v>
      </c>
      <c r="J7" s="4" t="s">
        <v>212</v>
      </c>
      <c r="K7" s="4" t="s">
        <v>213</v>
      </c>
      <c r="L7" s="4" t="s">
        <v>210</v>
      </c>
      <c r="M7" s="4" t="s">
        <v>297</v>
      </c>
      <c r="N7" s="4" t="s">
        <v>224</v>
      </c>
      <c r="O7" s="4" t="s">
        <v>211</v>
      </c>
      <c r="P7" s="4" t="s">
        <v>210</v>
      </c>
      <c r="Q7" s="4" t="s">
        <v>210</v>
      </c>
      <c r="R7" s="4" t="s">
        <v>210</v>
      </c>
      <c r="S7" s="4" t="s">
        <v>210</v>
      </c>
      <c r="T7" s="4" t="s">
        <v>210</v>
      </c>
      <c r="U7" s="4" t="s">
        <v>210</v>
      </c>
      <c r="V7" s="4" t="s">
        <v>210</v>
      </c>
      <c r="W7" s="4" t="s">
        <v>210</v>
      </c>
      <c r="X7" s="4" t="s">
        <v>298</v>
      </c>
      <c r="Y7" s="4" t="s">
        <v>211</v>
      </c>
      <c r="Z7" s="4" t="s">
        <v>211</v>
      </c>
      <c r="AA7" s="4" t="s">
        <v>294</v>
      </c>
      <c r="AB7" s="4" t="s">
        <v>295</v>
      </c>
    </row>
    <row r="8" spans="1:28">
      <c r="A8" s="4" t="s">
        <v>116</v>
      </c>
      <c r="B8" s="4" t="s">
        <v>116</v>
      </c>
      <c r="C8" s="4" t="s">
        <v>211</v>
      </c>
      <c r="D8" s="4" t="s">
        <v>296</v>
      </c>
      <c r="E8" s="4" t="s">
        <v>94</v>
      </c>
      <c r="F8" s="4" t="s">
        <v>112</v>
      </c>
      <c r="G8" s="4" t="s">
        <v>112</v>
      </c>
      <c r="H8" s="4" t="s">
        <v>210</v>
      </c>
      <c r="I8" s="4" t="s">
        <v>211</v>
      </c>
      <c r="J8" s="4" t="s">
        <v>225</v>
      </c>
      <c r="K8" s="4" t="s">
        <v>226</v>
      </c>
      <c r="L8" s="4" t="s">
        <v>210</v>
      </c>
      <c r="M8" s="4" t="s">
        <v>297</v>
      </c>
      <c r="N8" s="4" t="s">
        <v>227</v>
      </c>
      <c r="O8" s="4" t="s">
        <v>211</v>
      </c>
      <c r="P8" s="4" t="s">
        <v>210</v>
      </c>
      <c r="Q8" s="4" t="s">
        <v>210</v>
      </c>
      <c r="R8" s="4" t="s">
        <v>210</v>
      </c>
      <c r="S8" s="4" t="s">
        <v>210</v>
      </c>
      <c r="T8" s="4" t="s">
        <v>210</v>
      </c>
      <c r="U8" s="4" t="s">
        <v>210</v>
      </c>
      <c r="V8" s="4" t="s">
        <v>210</v>
      </c>
      <c r="W8" s="4" t="s">
        <v>210</v>
      </c>
      <c r="X8" s="4" t="s">
        <v>298</v>
      </c>
      <c r="Y8" s="4" t="s">
        <v>211</v>
      </c>
      <c r="Z8" s="4" t="s">
        <v>211</v>
      </c>
      <c r="AA8" s="4" t="s">
        <v>294</v>
      </c>
      <c r="AB8" s="4" t="s">
        <v>295</v>
      </c>
    </row>
    <row r="9" spans="1:28">
      <c r="A9" s="4" t="s">
        <v>117</v>
      </c>
      <c r="B9" s="4" t="s">
        <v>115</v>
      </c>
      <c r="C9" s="4" t="s">
        <v>115</v>
      </c>
      <c r="D9" s="4" t="s">
        <v>309</v>
      </c>
      <c r="E9" s="4" t="s">
        <v>109</v>
      </c>
      <c r="F9" s="4" t="s">
        <v>204</v>
      </c>
      <c r="G9" s="4" t="s">
        <v>110</v>
      </c>
      <c r="H9" s="4" t="s">
        <v>228</v>
      </c>
      <c r="I9" s="4" t="s">
        <v>206</v>
      </c>
      <c r="J9" s="4" t="s">
        <v>229</v>
      </c>
      <c r="K9" s="4" t="s">
        <v>230</v>
      </c>
      <c r="L9" s="4" t="s">
        <v>283</v>
      </c>
      <c r="M9" s="4" t="s">
        <v>310</v>
      </c>
      <c r="N9" s="4" t="s">
        <v>231</v>
      </c>
      <c r="O9" s="4" t="s">
        <v>232</v>
      </c>
      <c r="P9" s="4" t="s">
        <v>311</v>
      </c>
      <c r="Q9" s="4" t="s">
        <v>312</v>
      </c>
      <c r="R9" s="4" t="s">
        <v>313</v>
      </c>
      <c r="S9" s="4" t="s">
        <v>314</v>
      </c>
      <c r="T9" s="4" t="s">
        <v>210</v>
      </c>
      <c r="U9" s="4" t="s">
        <v>315</v>
      </c>
      <c r="V9" s="4" t="s">
        <v>316</v>
      </c>
      <c r="W9" s="4" t="s">
        <v>221</v>
      </c>
      <c r="X9" s="4" t="s">
        <v>317</v>
      </c>
      <c r="Y9" s="4" t="s">
        <v>318</v>
      </c>
      <c r="Z9" s="4" t="s">
        <v>319</v>
      </c>
      <c r="AA9" s="4" t="s">
        <v>294</v>
      </c>
      <c r="AB9" s="4" t="s">
        <v>295</v>
      </c>
    </row>
    <row r="10" spans="1:28">
      <c r="A10" s="4" t="s">
        <v>117</v>
      </c>
      <c r="B10" s="4" t="s">
        <v>117</v>
      </c>
      <c r="C10" s="4" t="s">
        <v>211</v>
      </c>
      <c r="D10" s="4" t="s">
        <v>296</v>
      </c>
      <c r="E10" s="4" t="s">
        <v>94</v>
      </c>
      <c r="F10" s="4" t="s">
        <v>112</v>
      </c>
      <c r="G10" s="4" t="s">
        <v>112</v>
      </c>
      <c r="H10" s="4" t="s">
        <v>210</v>
      </c>
      <c r="I10" s="4" t="s">
        <v>211</v>
      </c>
      <c r="J10" s="4" t="s">
        <v>212</v>
      </c>
      <c r="K10" s="4" t="s">
        <v>213</v>
      </c>
      <c r="L10" s="4" t="s">
        <v>210</v>
      </c>
      <c r="M10" s="4" t="s">
        <v>297</v>
      </c>
      <c r="N10" s="4" t="s">
        <v>233</v>
      </c>
      <c r="O10" s="4" t="s">
        <v>211</v>
      </c>
      <c r="P10" s="4" t="s">
        <v>210</v>
      </c>
      <c r="Q10" s="4" t="s">
        <v>210</v>
      </c>
      <c r="R10" s="4" t="s">
        <v>210</v>
      </c>
      <c r="S10" s="4" t="s">
        <v>210</v>
      </c>
      <c r="T10" s="4" t="s">
        <v>210</v>
      </c>
      <c r="U10" s="4" t="s">
        <v>210</v>
      </c>
      <c r="V10" s="4" t="s">
        <v>210</v>
      </c>
      <c r="W10" s="4" t="s">
        <v>210</v>
      </c>
      <c r="X10" s="4" t="s">
        <v>298</v>
      </c>
      <c r="Y10" s="4" t="s">
        <v>211</v>
      </c>
      <c r="Z10" s="4" t="s">
        <v>211</v>
      </c>
      <c r="AA10" s="4" t="s">
        <v>294</v>
      </c>
      <c r="AB10" s="4" t="s">
        <v>295</v>
      </c>
    </row>
    <row r="11" spans="1:28">
      <c r="A11" s="4" t="s">
        <v>118</v>
      </c>
      <c r="B11" s="4" t="s">
        <v>118</v>
      </c>
      <c r="C11" s="4" t="s">
        <v>211</v>
      </c>
      <c r="D11" s="4" t="s">
        <v>296</v>
      </c>
      <c r="E11" s="4" t="s">
        <v>94</v>
      </c>
      <c r="F11" s="4" t="s">
        <v>112</v>
      </c>
      <c r="G11" s="4" t="s">
        <v>112</v>
      </c>
      <c r="H11" s="4" t="s">
        <v>210</v>
      </c>
      <c r="I11" s="4" t="s">
        <v>211</v>
      </c>
      <c r="J11" s="4" t="s">
        <v>221</v>
      </c>
      <c r="K11" s="4" t="s">
        <v>222</v>
      </c>
      <c r="L11" s="4" t="s">
        <v>210</v>
      </c>
      <c r="M11" s="4" t="s">
        <v>297</v>
      </c>
      <c r="N11" s="4" t="s">
        <v>234</v>
      </c>
      <c r="O11" s="4" t="s">
        <v>211</v>
      </c>
      <c r="P11" s="4" t="s">
        <v>210</v>
      </c>
      <c r="Q11" s="4" t="s">
        <v>210</v>
      </c>
      <c r="R11" s="4" t="s">
        <v>210</v>
      </c>
      <c r="S11" s="4" t="s">
        <v>210</v>
      </c>
      <c r="T11" s="4" t="s">
        <v>210</v>
      </c>
      <c r="U11" s="4" t="s">
        <v>210</v>
      </c>
      <c r="V11" s="4" t="s">
        <v>210</v>
      </c>
      <c r="W11" s="4" t="s">
        <v>210</v>
      </c>
      <c r="X11" s="4" t="s">
        <v>298</v>
      </c>
      <c r="Y11" s="4" t="s">
        <v>211</v>
      </c>
      <c r="Z11" s="4" t="s">
        <v>211</v>
      </c>
      <c r="AA11" s="4" t="s">
        <v>294</v>
      </c>
      <c r="AB11" s="4" t="s">
        <v>295</v>
      </c>
    </row>
    <row r="12" spans="1:28">
      <c r="A12" s="4" t="s">
        <v>119</v>
      </c>
      <c r="B12" s="4" t="s">
        <v>119</v>
      </c>
      <c r="C12" s="4" t="s">
        <v>211</v>
      </c>
      <c r="D12" s="4" t="s">
        <v>296</v>
      </c>
      <c r="E12" s="4" t="s">
        <v>94</v>
      </c>
      <c r="F12" s="4" t="s">
        <v>112</v>
      </c>
      <c r="G12" s="4" t="s">
        <v>112</v>
      </c>
      <c r="H12" s="4" t="s">
        <v>210</v>
      </c>
      <c r="I12" s="4" t="s">
        <v>211</v>
      </c>
      <c r="J12" s="4" t="s">
        <v>221</v>
      </c>
      <c r="K12" s="4" t="s">
        <v>222</v>
      </c>
      <c r="L12" s="4" t="s">
        <v>210</v>
      </c>
      <c r="M12" s="4" t="s">
        <v>297</v>
      </c>
      <c r="N12" s="4" t="s">
        <v>235</v>
      </c>
      <c r="O12" s="4" t="s">
        <v>211</v>
      </c>
      <c r="P12" s="4" t="s">
        <v>210</v>
      </c>
      <c r="Q12" s="4" t="s">
        <v>210</v>
      </c>
      <c r="R12" s="4" t="s">
        <v>210</v>
      </c>
      <c r="S12" s="4" t="s">
        <v>210</v>
      </c>
      <c r="T12" s="4" t="s">
        <v>210</v>
      </c>
      <c r="U12" s="4" t="s">
        <v>210</v>
      </c>
      <c r="V12" s="4" t="s">
        <v>210</v>
      </c>
      <c r="W12" s="4" t="s">
        <v>210</v>
      </c>
      <c r="X12" s="4" t="s">
        <v>298</v>
      </c>
      <c r="Y12" s="4" t="s">
        <v>211</v>
      </c>
      <c r="Z12" s="4" t="s">
        <v>211</v>
      </c>
      <c r="AA12" s="4" t="s">
        <v>294</v>
      </c>
      <c r="AB12" s="4" t="s">
        <v>295</v>
      </c>
    </row>
    <row r="13" spans="1:28">
      <c r="A13" s="4" t="s">
        <v>120</v>
      </c>
      <c r="B13" s="4" t="s">
        <v>120</v>
      </c>
      <c r="C13" s="4" t="s">
        <v>211</v>
      </c>
      <c r="D13" s="4" t="s">
        <v>296</v>
      </c>
      <c r="E13" s="4" t="s">
        <v>94</v>
      </c>
      <c r="F13" s="4" t="s">
        <v>112</v>
      </c>
      <c r="G13" s="4" t="s">
        <v>112</v>
      </c>
      <c r="H13" s="4" t="s">
        <v>210</v>
      </c>
      <c r="I13" s="4" t="s">
        <v>211</v>
      </c>
      <c r="J13" s="4" t="s">
        <v>221</v>
      </c>
      <c r="K13" s="4" t="s">
        <v>222</v>
      </c>
      <c r="L13" s="4" t="s">
        <v>210</v>
      </c>
      <c r="M13" s="4" t="s">
        <v>297</v>
      </c>
      <c r="N13" s="4" t="s">
        <v>236</v>
      </c>
      <c r="O13" s="4" t="s">
        <v>211</v>
      </c>
      <c r="P13" s="4" t="s">
        <v>210</v>
      </c>
      <c r="Q13" s="4" t="s">
        <v>210</v>
      </c>
      <c r="R13" s="4" t="s">
        <v>210</v>
      </c>
      <c r="S13" s="4" t="s">
        <v>210</v>
      </c>
      <c r="T13" s="4" t="s">
        <v>210</v>
      </c>
      <c r="U13" s="4" t="s">
        <v>210</v>
      </c>
      <c r="V13" s="4" t="s">
        <v>210</v>
      </c>
      <c r="W13" s="4" t="s">
        <v>210</v>
      </c>
      <c r="X13" s="4" t="s">
        <v>298</v>
      </c>
      <c r="Y13" s="4" t="s">
        <v>211</v>
      </c>
      <c r="Z13" s="4" t="s">
        <v>211</v>
      </c>
      <c r="AA13" s="4" t="s">
        <v>294</v>
      </c>
      <c r="AB13" s="4" t="s">
        <v>295</v>
      </c>
    </row>
    <row r="14" spans="1:28">
      <c r="A14" s="4" t="s">
        <v>121</v>
      </c>
      <c r="B14" s="4" t="s">
        <v>119</v>
      </c>
      <c r="C14" s="4" t="s">
        <v>119</v>
      </c>
      <c r="D14" s="4" t="s">
        <v>320</v>
      </c>
      <c r="E14" s="4" t="s">
        <v>109</v>
      </c>
      <c r="F14" s="4" t="s">
        <v>204</v>
      </c>
      <c r="G14" s="4" t="s">
        <v>110</v>
      </c>
      <c r="H14" s="4" t="s">
        <v>237</v>
      </c>
      <c r="I14" s="4" t="s">
        <v>238</v>
      </c>
      <c r="J14" s="4" t="s">
        <v>239</v>
      </c>
      <c r="K14" s="4" t="s">
        <v>240</v>
      </c>
      <c r="L14" s="4" t="s">
        <v>321</v>
      </c>
      <c r="M14" s="4" t="s">
        <v>322</v>
      </c>
      <c r="N14" s="4" t="s">
        <v>241</v>
      </c>
      <c r="O14" s="4" t="s">
        <v>242</v>
      </c>
      <c r="P14" s="4" t="s">
        <v>323</v>
      </c>
      <c r="Q14" s="4" t="s">
        <v>324</v>
      </c>
      <c r="R14" s="4" t="s">
        <v>325</v>
      </c>
      <c r="S14" s="4" t="s">
        <v>326</v>
      </c>
      <c r="T14" s="4" t="s">
        <v>210</v>
      </c>
      <c r="U14" s="4" t="s">
        <v>315</v>
      </c>
      <c r="V14" s="4" t="s">
        <v>327</v>
      </c>
      <c r="W14" s="4" t="s">
        <v>221</v>
      </c>
      <c r="X14" s="4" t="s">
        <v>328</v>
      </c>
      <c r="Y14" s="4" t="s">
        <v>329</v>
      </c>
      <c r="Z14" s="4" t="s">
        <v>330</v>
      </c>
      <c r="AA14" s="4" t="s">
        <v>294</v>
      </c>
      <c r="AB14" s="4" t="s">
        <v>295</v>
      </c>
    </row>
    <row r="15" spans="1:28">
      <c r="A15" s="4" t="s">
        <v>121</v>
      </c>
      <c r="B15" s="4" t="s">
        <v>121</v>
      </c>
      <c r="C15" s="4" t="s">
        <v>211</v>
      </c>
      <c r="D15" s="4" t="s">
        <v>296</v>
      </c>
      <c r="E15" s="4" t="s">
        <v>94</v>
      </c>
      <c r="F15" s="4" t="s">
        <v>112</v>
      </c>
      <c r="G15" s="4" t="s">
        <v>112</v>
      </c>
      <c r="H15" s="4" t="s">
        <v>210</v>
      </c>
      <c r="I15" s="4" t="s">
        <v>211</v>
      </c>
      <c r="J15" s="4" t="s">
        <v>243</v>
      </c>
      <c r="K15" s="4" t="s">
        <v>244</v>
      </c>
      <c r="L15" s="4" t="s">
        <v>210</v>
      </c>
      <c r="M15" s="4" t="s">
        <v>297</v>
      </c>
      <c r="N15" s="4" t="s">
        <v>245</v>
      </c>
      <c r="O15" s="4" t="s">
        <v>211</v>
      </c>
      <c r="P15" s="4" t="s">
        <v>210</v>
      </c>
      <c r="Q15" s="4" t="s">
        <v>210</v>
      </c>
      <c r="R15" s="4" t="s">
        <v>210</v>
      </c>
      <c r="S15" s="4" t="s">
        <v>210</v>
      </c>
      <c r="T15" s="4" t="s">
        <v>210</v>
      </c>
      <c r="U15" s="4" t="s">
        <v>210</v>
      </c>
      <c r="V15" s="4" t="s">
        <v>210</v>
      </c>
      <c r="W15" s="4" t="s">
        <v>210</v>
      </c>
      <c r="X15" s="4" t="s">
        <v>298</v>
      </c>
      <c r="Y15" s="4" t="s">
        <v>211</v>
      </c>
      <c r="Z15" s="4" t="s">
        <v>211</v>
      </c>
      <c r="AA15" s="4" t="s">
        <v>294</v>
      </c>
      <c r="AB15" s="4" t="s">
        <v>295</v>
      </c>
    </row>
    <row r="16" spans="1:28">
      <c r="A16" s="4" t="s">
        <v>122</v>
      </c>
      <c r="B16" s="4" t="s">
        <v>122</v>
      </c>
      <c r="C16" s="4" t="s">
        <v>211</v>
      </c>
      <c r="D16" s="4" t="s">
        <v>296</v>
      </c>
      <c r="E16" s="4" t="s">
        <v>94</v>
      </c>
      <c r="F16" s="4" t="s">
        <v>112</v>
      </c>
      <c r="G16" s="4" t="s">
        <v>112</v>
      </c>
      <c r="H16" s="4" t="s">
        <v>210</v>
      </c>
      <c r="I16" s="4" t="s">
        <v>211</v>
      </c>
      <c r="J16" s="4" t="s">
        <v>221</v>
      </c>
      <c r="K16" s="4" t="s">
        <v>222</v>
      </c>
      <c r="L16" s="4" t="s">
        <v>210</v>
      </c>
      <c r="M16" s="4" t="s">
        <v>297</v>
      </c>
      <c r="N16" s="4" t="s">
        <v>246</v>
      </c>
      <c r="O16" s="4" t="s">
        <v>211</v>
      </c>
      <c r="P16" s="4" t="s">
        <v>210</v>
      </c>
      <c r="Q16" s="4" t="s">
        <v>210</v>
      </c>
      <c r="R16" s="4" t="s">
        <v>210</v>
      </c>
      <c r="S16" s="4" t="s">
        <v>210</v>
      </c>
      <c r="T16" s="4" t="s">
        <v>210</v>
      </c>
      <c r="U16" s="4" t="s">
        <v>210</v>
      </c>
      <c r="V16" s="4" t="s">
        <v>210</v>
      </c>
      <c r="W16" s="4" t="s">
        <v>210</v>
      </c>
      <c r="X16" s="4" t="s">
        <v>298</v>
      </c>
      <c r="Y16" s="4" t="s">
        <v>211</v>
      </c>
      <c r="Z16" s="4" t="s">
        <v>211</v>
      </c>
      <c r="AA16" s="4" t="s">
        <v>294</v>
      </c>
      <c r="AB16" s="4" t="s">
        <v>295</v>
      </c>
    </row>
    <row r="17" spans="1:28">
      <c r="A17" s="4" t="s">
        <v>123</v>
      </c>
      <c r="B17" s="4" t="s">
        <v>123</v>
      </c>
      <c r="C17" s="4" t="s">
        <v>211</v>
      </c>
      <c r="D17" s="4" t="s">
        <v>296</v>
      </c>
      <c r="E17" s="4" t="s">
        <v>94</v>
      </c>
      <c r="F17" s="4" t="s">
        <v>112</v>
      </c>
      <c r="G17" s="4" t="s">
        <v>112</v>
      </c>
      <c r="H17" s="4" t="s">
        <v>210</v>
      </c>
      <c r="I17" s="4" t="s">
        <v>211</v>
      </c>
      <c r="J17" s="4" t="s">
        <v>221</v>
      </c>
      <c r="K17" s="4" t="s">
        <v>222</v>
      </c>
      <c r="L17" s="4" t="s">
        <v>210</v>
      </c>
      <c r="M17" s="4" t="s">
        <v>297</v>
      </c>
      <c r="N17" s="4" t="s">
        <v>247</v>
      </c>
      <c r="O17" s="4" t="s">
        <v>211</v>
      </c>
      <c r="P17" s="4" t="s">
        <v>210</v>
      </c>
      <c r="Q17" s="4" t="s">
        <v>210</v>
      </c>
      <c r="R17" s="4" t="s">
        <v>210</v>
      </c>
      <c r="S17" s="4" t="s">
        <v>210</v>
      </c>
      <c r="T17" s="4" t="s">
        <v>210</v>
      </c>
      <c r="U17" s="4" t="s">
        <v>210</v>
      </c>
      <c r="V17" s="4" t="s">
        <v>210</v>
      </c>
      <c r="W17" s="4" t="s">
        <v>210</v>
      </c>
      <c r="X17" s="4" t="s">
        <v>298</v>
      </c>
      <c r="Y17" s="4" t="s">
        <v>211</v>
      </c>
      <c r="Z17" s="4" t="s">
        <v>211</v>
      </c>
      <c r="AA17" s="4" t="s">
        <v>294</v>
      </c>
      <c r="AB17" s="4" t="s">
        <v>295</v>
      </c>
    </row>
    <row r="18" spans="1:28">
      <c r="A18" s="4" t="s">
        <v>124</v>
      </c>
      <c r="B18" s="4" t="s">
        <v>124</v>
      </c>
      <c r="C18" s="4" t="s">
        <v>211</v>
      </c>
      <c r="D18" s="4" t="s">
        <v>296</v>
      </c>
      <c r="E18" s="4" t="s">
        <v>94</v>
      </c>
      <c r="F18" s="4" t="s">
        <v>112</v>
      </c>
      <c r="G18" s="4" t="s">
        <v>112</v>
      </c>
      <c r="H18" s="4" t="s">
        <v>210</v>
      </c>
      <c r="I18" s="4" t="s">
        <v>211</v>
      </c>
      <c r="J18" s="4" t="s">
        <v>225</v>
      </c>
      <c r="K18" s="4" t="s">
        <v>226</v>
      </c>
      <c r="L18" s="4" t="s">
        <v>210</v>
      </c>
      <c r="M18" s="4" t="s">
        <v>297</v>
      </c>
      <c r="N18" s="4" t="s">
        <v>248</v>
      </c>
      <c r="O18" s="4" t="s">
        <v>211</v>
      </c>
      <c r="P18" s="4" t="s">
        <v>210</v>
      </c>
      <c r="Q18" s="4" t="s">
        <v>210</v>
      </c>
      <c r="R18" s="4" t="s">
        <v>210</v>
      </c>
      <c r="S18" s="4" t="s">
        <v>210</v>
      </c>
      <c r="T18" s="4" t="s">
        <v>210</v>
      </c>
      <c r="U18" s="4" t="s">
        <v>210</v>
      </c>
      <c r="V18" s="4" t="s">
        <v>210</v>
      </c>
      <c r="W18" s="4" t="s">
        <v>210</v>
      </c>
      <c r="X18" s="4" t="s">
        <v>298</v>
      </c>
      <c r="Y18" s="4" t="s">
        <v>211</v>
      </c>
      <c r="Z18" s="4" t="s">
        <v>211</v>
      </c>
      <c r="AA18" s="4" t="s">
        <v>294</v>
      </c>
      <c r="AB18" s="4" t="s">
        <v>295</v>
      </c>
    </row>
    <row r="19" spans="1:28">
      <c r="A19" s="4" t="s">
        <v>125</v>
      </c>
      <c r="B19" s="4" t="s">
        <v>125</v>
      </c>
      <c r="C19" s="4" t="s">
        <v>211</v>
      </c>
      <c r="D19" s="4" t="s">
        <v>296</v>
      </c>
      <c r="E19" s="4" t="s">
        <v>94</v>
      </c>
      <c r="F19" s="4" t="s">
        <v>112</v>
      </c>
      <c r="G19" s="4" t="s">
        <v>112</v>
      </c>
      <c r="H19" s="4" t="s">
        <v>210</v>
      </c>
      <c r="I19" s="4" t="s">
        <v>211</v>
      </c>
      <c r="J19" s="4" t="s">
        <v>225</v>
      </c>
      <c r="K19" s="4" t="s">
        <v>226</v>
      </c>
      <c r="L19" s="4" t="s">
        <v>210</v>
      </c>
      <c r="M19" s="4" t="s">
        <v>297</v>
      </c>
      <c r="N19" s="4" t="s">
        <v>249</v>
      </c>
      <c r="O19" s="4" t="s">
        <v>211</v>
      </c>
      <c r="P19" s="4" t="s">
        <v>210</v>
      </c>
      <c r="Q19" s="4" t="s">
        <v>210</v>
      </c>
      <c r="R19" s="4" t="s">
        <v>210</v>
      </c>
      <c r="S19" s="4" t="s">
        <v>210</v>
      </c>
      <c r="T19" s="4" t="s">
        <v>210</v>
      </c>
      <c r="U19" s="4" t="s">
        <v>210</v>
      </c>
      <c r="V19" s="4" t="s">
        <v>210</v>
      </c>
      <c r="W19" s="4" t="s">
        <v>210</v>
      </c>
      <c r="X19" s="4" t="s">
        <v>298</v>
      </c>
      <c r="Y19" s="4" t="s">
        <v>211</v>
      </c>
      <c r="Z19" s="4" t="s">
        <v>211</v>
      </c>
      <c r="AA19" s="4" t="s">
        <v>294</v>
      </c>
      <c r="AB19" s="4" t="s">
        <v>295</v>
      </c>
    </row>
    <row r="20" spans="1:28">
      <c r="A20" s="4" t="s">
        <v>126</v>
      </c>
      <c r="B20" s="4" t="s">
        <v>126</v>
      </c>
      <c r="C20" s="4" t="s">
        <v>211</v>
      </c>
      <c r="D20" s="4" t="s">
        <v>296</v>
      </c>
      <c r="E20" s="4" t="s">
        <v>94</v>
      </c>
      <c r="F20" s="4" t="s">
        <v>112</v>
      </c>
      <c r="G20" s="4" t="s">
        <v>112</v>
      </c>
      <c r="H20" s="4" t="s">
        <v>210</v>
      </c>
      <c r="I20" s="4" t="s">
        <v>211</v>
      </c>
      <c r="J20" s="4" t="s">
        <v>250</v>
      </c>
      <c r="K20" s="4" t="s">
        <v>251</v>
      </c>
      <c r="L20" s="4" t="s">
        <v>210</v>
      </c>
      <c r="M20" s="4" t="s">
        <v>297</v>
      </c>
      <c r="N20" s="4" t="s">
        <v>252</v>
      </c>
      <c r="O20" s="4" t="s">
        <v>211</v>
      </c>
      <c r="P20" s="4" t="s">
        <v>210</v>
      </c>
      <c r="Q20" s="4" t="s">
        <v>210</v>
      </c>
      <c r="R20" s="4" t="s">
        <v>210</v>
      </c>
      <c r="S20" s="4" t="s">
        <v>210</v>
      </c>
      <c r="T20" s="4" t="s">
        <v>210</v>
      </c>
      <c r="U20" s="4" t="s">
        <v>210</v>
      </c>
      <c r="V20" s="4" t="s">
        <v>210</v>
      </c>
      <c r="W20" s="4" t="s">
        <v>210</v>
      </c>
      <c r="X20" s="4" t="s">
        <v>298</v>
      </c>
      <c r="Y20" s="4" t="s">
        <v>211</v>
      </c>
      <c r="Z20" s="4" t="s">
        <v>211</v>
      </c>
      <c r="AA20" s="4" t="s">
        <v>294</v>
      </c>
      <c r="AB20" s="4" t="s">
        <v>295</v>
      </c>
    </row>
    <row r="21" spans="1:28">
      <c r="A21" s="4" t="s">
        <v>127</v>
      </c>
      <c r="B21" s="4" t="s">
        <v>127</v>
      </c>
      <c r="C21" s="4" t="s">
        <v>211</v>
      </c>
      <c r="D21" s="4" t="s">
        <v>296</v>
      </c>
      <c r="E21" s="4" t="s">
        <v>94</v>
      </c>
      <c r="F21" s="4" t="s">
        <v>112</v>
      </c>
      <c r="G21" s="4" t="s">
        <v>112</v>
      </c>
      <c r="H21" s="4" t="s">
        <v>210</v>
      </c>
      <c r="I21" s="4" t="s">
        <v>211</v>
      </c>
      <c r="J21" s="4" t="s">
        <v>225</v>
      </c>
      <c r="K21" s="4" t="s">
        <v>226</v>
      </c>
      <c r="L21" s="4" t="s">
        <v>210</v>
      </c>
      <c r="M21" s="4" t="s">
        <v>297</v>
      </c>
      <c r="N21" s="4" t="s">
        <v>253</v>
      </c>
      <c r="O21" s="4" t="s">
        <v>211</v>
      </c>
      <c r="P21" s="4" t="s">
        <v>210</v>
      </c>
      <c r="Q21" s="4" t="s">
        <v>210</v>
      </c>
      <c r="R21" s="4" t="s">
        <v>210</v>
      </c>
      <c r="S21" s="4" t="s">
        <v>210</v>
      </c>
      <c r="T21" s="4" t="s">
        <v>210</v>
      </c>
      <c r="U21" s="4" t="s">
        <v>210</v>
      </c>
      <c r="V21" s="4" t="s">
        <v>210</v>
      </c>
      <c r="W21" s="4" t="s">
        <v>210</v>
      </c>
      <c r="X21" s="4" t="s">
        <v>298</v>
      </c>
      <c r="Y21" s="4" t="s">
        <v>211</v>
      </c>
      <c r="Z21" s="4" t="s">
        <v>211</v>
      </c>
      <c r="AA21" s="4" t="s">
        <v>294</v>
      </c>
      <c r="AB21" s="4" t="s">
        <v>295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"/>
  <sheetViews>
    <sheetView topLeftCell="A82" workbookViewId="0">
      <selection activeCell="A2" sqref="A2:K100"/>
    </sheetView>
  </sheetViews>
  <sheetFormatPr defaultColWidth="9" defaultRowHeight="13.5"/>
  <cols>
    <col min="1" max="2" width="9.375" style="4"/>
    <col min="3" max="3" width="15.75" style="4" customWidth="1"/>
    <col min="4" max="7" width="9" style="4"/>
    <col min="8" max="8" width="9.375" style="4"/>
    <col min="9" max="9" width="10.375" style="4"/>
    <col min="10" max="10" width="9.375" style="4"/>
    <col min="11" max="11" width="9" style="4"/>
    <col min="12" max="12" width="9.375" style="4"/>
    <col min="13" max="16384" width="9" style="4"/>
  </cols>
  <sheetData>
    <row r="1" spans="1:15">
      <c r="A1" s="1" t="str">
        <f>"购买日期"</f>
        <v>购买日期</v>
      </c>
      <c r="B1" s="1" t="str">
        <f>"委托日期"</f>
        <v>委托日期</v>
      </c>
      <c r="C1" s="1" t="str">
        <f>"业务类型"</f>
        <v>业务类型</v>
      </c>
      <c r="D1" s="1" t="str">
        <f>"证券代码"</f>
        <v>证券代码</v>
      </c>
      <c r="E1" s="1" t="str">
        <f>"证券名称"</f>
        <v>证券名称</v>
      </c>
      <c r="F1" s="1" t="str">
        <f>"成交价格"</f>
        <v>成交价格</v>
      </c>
      <c r="G1" s="1" t="str">
        <f>"成交数量"</f>
        <v>成交数量</v>
      </c>
      <c r="H1" s="1" t="str">
        <f>"成交金额"</f>
        <v>成交金额</v>
      </c>
      <c r="I1" s="1" t="str">
        <f>"发生金额"</f>
        <v>发生金额</v>
      </c>
      <c r="J1" s="1" t="str">
        <f>"资金余额"</f>
        <v>资金余额</v>
      </c>
      <c r="K1" s="1" t="str">
        <f>"当前持仓"</f>
        <v>当前持仓</v>
      </c>
      <c r="L1" s="1" t="str">
        <f>"币种"</f>
        <v>币种</v>
      </c>
      <c r="M1" s="4" t="str">
        <f>"协议编号"</f>
        <v>协议编号</v>
      </c>
      <c r="N1" s="4" t="str">
        <f>"股东代码"</f>
        <v>股东代码</v>
      </c>
      <c r="O1" s="1" t="str">
        <f>"产品账号"</f>
        <v>产品账号</v>
      </c>
    </row>
    <row r="2" spans="1:15">
      <c r="A2" s="1" t="s">
        <v>128</v>
      </c>
      <c r="B2" s="1" t="s">
        <v>128</v>
      </c>
      <c r="C2" s="1" t="s">
        <v>94</v>
      </c>
      <c r="D2" s="1" t="s">
        <v>112</v>
      </c>
      <c r="E2" s="1" t="s">
        <v>112</v>
      </c>
      <c r="F2" s="5">
        <v>0</v>
      </c>
      <c r="G2" s="5">
        <v>0</v>
      </c>
      <c r="H2" s="5">
        <v>0.03</v>
      </c>
      <c r="I2" s="5">
        <v>-0.03</v>
      </c>
      <c r="J2" s="5">
        <v>633.53</v>
      </c>
      <c r="K2" s="5">
        <v>0</v>
      </c>
      <c r="L2" s="6"/>
      <c r="M2" s="6"/>
      <c r="N2" s="6"/>
      <c r="O2" s="6"/>
    </row>
    <row r="3" spans="1:15">
      <c r="A3" s="1" t="s">
        <v>129</v>
      </c>
      <c r="B3" s="1" t="s">
        <v>129</v>
      </c>
      <c r="C3" s="1" t="s">
        <v>94</v>
      </c>
      <c r="D3" s="1" t="s">
        <v>112</v>
      </c>
      <c r="E3" s="1" t="s">
        <v>112</v>
      </c>
      <c r="F3" s="5">
        <v>0</v>
      </c>
      <c r="G3" s="5">
        <v>0</v>
      </c>
      <c r="H3" s="5">
        <v>0.03</v>
      </c>
      <c r="I3" s="5">
        <v>-0.03</v>
      </c>
      <c r="J3" s="5">
        <v>633.5</v>
      </c>
      <c r="K3" s="5">
        <v>0</v>
      </c>
      <c r="L3" s="6"/>
      <c r="M3" s="6"/>
      <c r="N3" s="6"/>
      <c r="O3" s="6"/>
    </row>
    <row r="4" spans="1:15">
      <c r="A4" s="1" t="s">
        <v>130</v>
      </c>
      <c r="B4" s="1" t="s">
        <v>130</v>
      </c>
      <c r="C4" s="1" t="s">
        <v>94</v>
      </c>
      <c r="D4" s="1" t="s">
        <v>112</v>
      </c>
      <c r="E4" s="1" t="s">
        <v>112</v>
      </c>
      <c r="F4" s="5">
        <v>0</v>
      </c>
      <c r="G4" s="5">
        <v>0</v>
      </c>
      <c r="H4" s="5">
        <v>0.03</v>
      </c>
      <c r="I4" s="5">
        <v>-0.03</v>
      </c>
      <c r="J4" s="5">
        <v>633.47</v>
      </c>
      <c r="K4" s="5">
        <v>0</v>
      </c>
      <c r="L4" s="6"/>
      <c r="M4" s="6"/>
      <c r="N4" s="6"/>
      <c r="O4" s="6"/>
    </row>
    <row r="5" spans="1:15">
      <c r="A5" s="1" t="s">
        <v>131</v>
      </c>
      <c r="B5" s="1" t="s">
        <v>131</v>
      </c>
      <c r="C5" s="1" t="s">
        <v>94</v>
      </c>
      <c r="D5" s="1" t="s">
        <v>112</v>
      </c>
      <c r="E5" s="1" t="s">
        <v>112</v>
      </c>
      <c r="F5" s="5">
        <v>0</v>
      </c>
      <c r="G5" s="5">
        <v>0</v>
      </c>
      <c r="H5" s="5">
        <v>0.11</v>
      </c>
      <c r="I5" s="5">
        <v>-0.11</v>
      </c>
      <c r="J5" s="5">
        <v>633.36</v>
      </c>
      <c r="K5" s="5">
        <v>0</v>
      </c>
      <c r="L5" s="6"/>
      <c r="M5" s="6"/>
      <c r="N5" s="6"/>
      <c r="O5" s="6"/>
    </row>
    <row r="6" spans="1:15">
      <c r="A6" s="1" t="s">
        <v>132</v>
      </c>
      <c r="B6" s="1" t="s">
        <v>132</v>
      </c>
      <c r="C6" s="1" t="s">
        <v>94</v>
      </c>
      <c r="D6" s="1" t="s">
        <v>112</v>
      </c>
      <c r="E6" s="1" t="s">
        <v>112</v>
      </c>
      <c r="F6" s="5">
        <v>0</v>
      </c>
      <c r="G6" s="5">
        <v>0</v>
      </c>
      <c r="H6" s="5">
        <v>0.03</v>
      </c>
      <c r="I6" s="5">
        <v>-0.03</v>
      </c>
      <c r="J6" s="5">
        <v>633.33</v>
      </c>
      <c r="K6" s="5">
        <v>0</v>
      </c>
      <c r="L6" s="6"/>
      <c r="M6" s="6"/>
      <c r="N6" s="6"/>
      <c r="O6" s="6"/>
    </row>
    <row r="7" spans="1:15">
      <c r="A7" s="1" t="s">
        <v>133</v>
      </c>
      <c r="B7" s="1" t="s">
        <v>133</v>
      </c>
      <c r="C7" s="1" t="s">
        <v>94</v>
      </c>
      <c r="D7" s="1" t="s">
        <v>112</v>
      </c>
      <c r="E7" s="1" t="s">
        <v>112</v>
      </c>
      <c r="F7" s="5">
        <v>0</v>
      </c>
      <c r="G7" s="5">
        <v>0</v>
      </c>
      <c r="H7" s="5">
        <v>0.03</v>
      </c>
      <c r="I7" s="5">
        <v>-0.03</v>
      </c>
      <c r="J7" s="5">
        <v>633.3</v>
      </c>
      <c r="K7" s="5">
        <v>0</v>
      </c>
      <c r="L7" s="6"/>
      <c r="M7" s="6"/>
      <c r="N7" s="6"/>
      <c r="O7" s="6"/>
    </row>
    <row r="8" spans="1:15">
      <c r="A8" s="1" t="s">
        <v>134</v>
      </c>
      <c r="B8" s="1" t="s">
        <v>134</v>
      </c>
      <c r="C8" s="1" t="s">
        <v>94</v>
      </c>
      <c r="D8" s="1" t="s">
        <v>112</v>
      </c>
      <c r="E8" s="1" t="s">
        <v>112</v>
      </c>
      <c r="F8" s="5">
        <v>0</v>
      </c>
      <c r="G8" s="5">
        <v>0</v>
      </c>
      <c r="H8" s="5">
        <v>0.14</v>
      </c>
      <c r="I8" s="5">
        <v>-0.14</v>
      </c>
      <c r="J8" s="5">
        <v>633.16</v>
      </c>
      <c r="K8" s="5">
        <v>0</v>
      </c>
      <c r="L8" s="6"/>
      <c r="M8" s="6"/>
      <c r="N8" s="6"/>
      <c r="O8" s="6"/>
    </row>
    <row r="9" spans="1:15">
      <c r="A9" s="1" t="s">
        <v>135</v>
      </c>
      <c r="B9" s="1" t="s">
        <v>135</v>
      </c>
      <c r="C9" s="1" t="s">
        <v>94</v>
      </c>
      <c r="D9" s="1" t="s">
        <v>112</v>
      </c>
      <c r="E9" s="1" t="s">
        <v>112</v>
      </c>
      <c r="F9" s="5">
        <v>0</v>
      </c>
      <c r="G9" s="5">
        <v>0</v>
      </c>
      <c r="H9" s="5">
        <v>0.03</v>
      </c>
      <c r="I9" s="5">
        <v>-0.03</v>
      </c>
      <c r="J9" s="5">
        <v>633.13</v>
      </c>
      <c r="K9" s="5">
        <v>0</v>
      </c>
      <c r="L9" s="6"/>
      <c r="M9" s="6"/>
      <c r="N9" s="6"/>
      <c r="O9" s="6"/>
    </row>
    <row r="10" spans="1:15">
      <c r="A10" s="1" t="s">
        <v>136</v>
      </c>
      <c r="B10" s="1" t="s">
        <v>136</v>
      </c>
      <c r="C10" s="1" t="s">
        <v>94</v>
      </c>
      <c r="D10" s="1" t="s">
        <v>112</v>
      </c>
      <c r="E10" s="1" t="s">
        <v>112</v>
      </c>
      <c r="F10" s="5">
        <v>0</v>
      </c>
      <c r="G10" s="5">
        <v>0</v>
      </c>
      <c r="H10" s="5">
        <v>0.03</v>
      </c>
      <c r="I10" s="5">
        <v>-0.03</v>
      </c>
      <c r="J10" s="5">
        <v>633.1</v>
      </c>
      <c r="K10" s="5">
        <v>0</v>
      </c>
      <c r="L10" s="6"/>
      <c r="M10" s="6"/>
      <c r="N10" s="6"/>
      <c r="O10" s="6"/>
    </row>
    <row r="11" spans="1:15">
      <c r="A11" s="1" t="s">
        <v>137</v>
      </c>
      <c r="B11" s="1" t="s">
        <v>137</v>
      </c>
      <c r="C11" s="1" t="s">
        <v>94</v>
      </c>
      <c r="D11" s="1" t="s">
        <v>112</v>
      </c>
      <c r="E11" s="1" t="s">
        <v>112</v>
      </c>
      <c r="F11" s="5">
        <v>0</v>
      </c>
      <c r="G11" s="5">
        <v>0</v>
      </c>
      <c r="H11" s="5">
        <v>0.03</v>
      </c>
      <c r="I11" s="5">
        <v>-0.03</v>
      </c>
      <c r="J11" s="5">
        <v>633.07</v>
      </c>
      <c r="K11" s="5">
        <v>0</v>
      </c>
      <c r="L11" s="6"/>
      <c r="M11" s="6"/>
      <c r="N11" s="6"/>
      <c r="O11" s="6"/>
    </row>
    <row r="12" spans="1:15">
      <c r="A12" s="1" t="s">
        <v>138</v>
      </c>
      <c r="B12" s="1" t="s">
        <v>138</v>
      </c>
      <c r="C12" s="1" t="s">
        <v>94</v>
      </c>
      <c r="D12" s="1" t="s">
        <v>112</v>
      </c>
      <c r="E12" s="1" t="s">
        <v>112</v>
      </c>
      <c r="F12" s="5">
        <v>0</v>
      </c>
      <c r="G12" s="5">
        <v>0</v>
      </c>
      <c r="H12" s="5">
        <v>0.08</v>
      </c>
      <c r="I12" s="5">
        <v>-0.08</v>
      </c>
      <c r="J12" s="5">
        <v>632.99</v>
      </c>
      <c r="K12" s="5">
        <v>0</v>
      </c>
      <c r="L12" s="6"/>
      <c r="M12" s="6"/>
      <c r="N12" s="6"/>
      <c r="O12" s="6"/>
    </row>
    <row r="13" spans="1:15">
      <c r="A13" s="1" t="s">
        <v>139</v>
      </c>
      <c r="B13" s="1" t="s">
        <v>139</v>
      </c>
      <c r="C13" s="1" t="s">
        <v>94</v>
      </c>
      <c r="D13" s="1" t="s">
        <v>112</v>
      </c>
      <c r="E13" s="1" t="s">
        <v>112</v>
      </c>
      <c r="F13" s="5">
        <v>0</v>
      </c>
      <c r="G13" s="5">
        <v>0</v>
      </c>
      <c r="H13" s="5">
        <v>0.03</v>
      </c>
      <c r="I13" s="5">
        <v>-0.03</v>
      </c>
      <c r="J13" s="5">
        <v>632.96</v>
      </c>
      <c r="K13" s="5">
        <v>0</v>
      </c>
      <c r="L13" s="6"/>
      <c r="M13" s="6"/>
      <c r="N13" s="6"/>
      <c r="O13" s="6"/>
    </row>
    <row r="14" spans="1:15">
      <c r="A14" s="1" t="s">
        <v>140</v>
      </c>
      <c r="B14" s="1" t="s">
        <v>140</v>
      </c>
      <c r="C14" s="1" t="s">
        <v>94</v>
      </c>
      <c r="D14" s="1" t="s">
        <v>112</v>
      </c>
      <c r="E14" s="1" t="s">
        <v>112</v>
      </c>
      <c r="F14" s="5">
        <v>0</v>
      </c>
      <c r="G14" s="5">
        <v>0</v>
      </c>
      <c r="H14" s="5">
        <v>0.03</v>
      </c>
      <c r="I14" s="5">
        <v>-0.03</v>
      </c>
      <c r="J14" s="5">
        <v>632.93</v>
      </c>
      <c r="K14" s="5">
        <v>0</v>
      </c>
      <c r="L14" s="6"/>
      <c r="M14" s="6"/>
      <c r="N14" s="6"/>
      <c r="O14" s="6"/>
    </row>
    <row r="15" spans="1:15">
      <c r="A15" s="1" t="s">
        <v>141</v>
      </c>
      <c r="B15" s="1" t="s">
        <v>141</v>
      </c>
      <c r="C15" s="1" t="s">
        <v>94</v>
      </c>
      <c r="D15" s="1" t="s">
        <v>112</v>
      </c>
      <c r="E15" s="1" t="s">
        <v>112</v>
      </c>
      <c r="F15" s="5">
        <v>0</v>
      </c>
      <c r="G15" s="5">
        <v>0</v>
      </c>
      <c r="H15" s="5">
        <v>0.03</v>
      </c>
      <c r="I15" s="5">
        <v>-0.03</v>
      </c>
      <c r="J15" s="5">
        <v>632.9</v>
      </c>
      <c r="K15" s="5">
        <v>0</v>
      </c>
      <c r="L15" s="6"/>
      <c r="M15" s="6"/>
      <c r="N15" s="6"/>
      <c r="O15" s="6"/>
    </row>
    <row r="16" spans="1:15">
      <c r="A16" s="1" t="s">
        <v>142</v>
      </c>
      <c r="B16" s="1" t="s">
        <v>142</v>
      </c>
      <c r="C16" s="1" t="s">
        <v>94</v>
      </c>
      <c r="D16" s="1" t="s">
        <v>112</v>
      </c>
      <c r="E16" s="1" t="s">
        <v>112</v>
      </c>
      <c r="F16" s="5">
        <v>0</v>
      </c>
      <c r="G16" s="5">
        <v>0</v>
      </c>
      <c r="H16" s="5">
        <v>0.03</v>
      </c>
      <c r="I16" s="5">
        <v>-0.03</v>
      </c>
      <c r="J16" s="5">
        <v>632.87</v>
      </c>
      <c r="K16" s="5">
        <v>0</v>
      </c>
      <c r="L16" s="6"/>
      <c r="M16" s="6"/>
      <c r="N16" s="6"/>
      <c r="O16" s="6"/>
    </row>
    <row r="17" spans="1:15">
      <c r="A17" s="1" t="s">
        <v>143</v>
      </c>
      <c r="B17" s="1" t="s">
        <v>143</v>
      </c>
      <c r="C17" s="1" t="s">
        <v>94</v>
      </c>
      <c r="D17" s="1" t="s">
        <v>112</v>
      </c>
      <c r="E17" s="1" t="s">
        <v>112</v>
      </c>
      <c r="F17" s="5">
        <v>0</v>
      </c>
      <c r="G17" s="5">
        <v>0</v>
      </c>
      <c r="H17" s="5">
        <v>0.08</v>
      </c>
      <c r="I17" s="5">
        <v>-0.08</v>
      </c>
      <c r="J17" s="5">
        <v>632.79</v>
      </c>
      <c r="K17" s="5">
        <v>0</v>
      </c>
      <c r="L17" s="6"/>
      <c r="N17" s="6"/>
      <c r="O17" s="6"/>
    </row>
    <row r="18" spans="1:15">
      <c r="A18" s="1" t="s">
        <v>144</v>
      </c>
      <c r="B18" s="1" t="s">
        <v>144</v>
      </c>
      <c r="C18" s="1" t="s">
        <v>94</v>
      </c>
      <c r="D18" s="1" t="s">
        <v>112</v>
      </c>
      <c r="E18" s="1" t="s">
        <v>112</v>
      </c>
      <c r="F18" s="5">
        <v>0</v>
      </c>
      <c r="G18" s="5">
        <v>0</v>
      </c>
      <c r="H18" s="5">
        <v>0.03</v>
      </c>
      <c r="I18" s="5">
        <v>-0.03</v>
      </c>
      <c r="J18" s="5">
        <v>632.76</v>
      </c>
      <c r="K18" s="5">
        <v>0</v>
      </c>
      <c r="L18" s="6"/>
      <c r="N18" s="6"/>
      <c r="O18" s="6"/>
    </row>
    <row r="19" spans="1:15">
      <c r="A19" s="1" t="s">
        <v>145</v>
      </c>
      <c r="B19" s="1" t="s">
        <v>145</v>
      </c>
      <c r="C19" s="1" t="s">
        <v>94</v>
      </c>
      <c r="D19" s="1" t="s">
        <v>112</v>
      </c>
      <c r="E19" s="1" t="s">
        <v>112</v>
      </c>
      <c r="F19" s="5">
        <v>0</v>
      </c>
      <c r="G19" s="5">
        <v>0</v>
      </c>
      <c r="H19" s="5">
        <v>0.03</v>
      </c>
      <c r="I19" s="5">
        <v>-0.03</v>
      </c>
      <c r="J19" s="5">
        <v>632.73</v>
      </c>
      <c r="K19" s="5">
        <v>0</v>
      </c>
      <c r="L19" s="6"/>
      <c r="N19" s="6"/>
      <c r="O19" s="6"/>
    </row>
    <row r="20" spans="1:15">
      <c r="A20" s="1" t="s">
        <v>146</v>
      </c>
      <c r="B20" s="1" t="s">
        <v>146</v>
      </c>
      <c r="C20" s="1" t="s">
        <v>94</v>
      </c>
      <c r="D20" s="1" t="s">
        <v>112</v>
      </c>
      <c r="E20" s="1" t="s">
        <v>112</v>
      </c>
      <c r="F20" s="5">
        <v>0</v>
      </c>
      <c r="G20" s="5">
        <v>0</v>
      </c>
      <c r="H20" s="5">
        <v>0.2</v>
      </c>
      <c r="I20" s="5">
        <v>-0.2</v>
      </c>
      <c r="J20" s="5">
        <v>632.53</v>
      </c>
      <c r="K20" s="5">
        <v>0</v>
      </c>
      <c r="L20" s="6"/>
      <c r="N20" s="6"/>
      <c r="O20" s="6"/>
    </row>
    <row r="21" spans="1:15">
      <c r="A21" s="1" t="s">
        <v>147</v>
      </c>
      <c r="B21" s="1" t="s">
        <v>147</v>
      </c>
      <c r="C21" s="1" t="s">
        <v>94</v>
      </c>
      <c r="D21" s="1" t="s">
        <v>112</v>
      </c>
      <c r="E21" s="1" t="s">
        <v>112</v>
      </c>
      <c r="F21" s="5">
        <v>0</v>
      </c>
      <c r="G21" s="5">
        <v>0</v>
      </c>
      <c r="H21" s="5">
        <v>0.03</v>
      </c>
      <c r="I21" s="5">
        <v>-0.03</v>
      </c>
      <c r="J21" s="5">
        <v>632.5</v>
      </c>
      <c r="K21" s="5">
        <v>0</v>
      </c>
      <c r="L21" s="6"/>
      <c r="N21" s="6"/>
      <c r="O21" s="6"/>
    </row>
    <row r="22" spans="1:15">
      <c r="A22" s="1" t="s">
        <v>148</v>
      </c>
      <c r="B22" s="1" t="s">
        <v>148</v>
      </c>
      <c r="C22" s="1" t="s">
        <v>94</v>
      </c>
      <c r="D22" s="1" t="s">
        <v>112</v>
      </c>
      <c r="E22" s="1" t="s">
        <v>112</v>
      </c>
      <c r="F22" s="5">
        <v>0</v>
      </c>
      <c r="G22" s="5">
        <v>0</v>
      </c>
      <c r="H22" s="5">
        <v>0.03</v>
      </c>
      <c r="I22" s="5">
        <v>-0.03</v>
      </c>
      <c r="J22" s="5">
        <v>632.47</v>
      </c>
      <c r="K22" s="5">
        <v>0</v>
      </c>
      <c r="L22" s="6"/>
      <c r="M22" s="6"/>
      <c r="N22" s="6"/>
      <c r="O22" s="6"/>
    </row>
    <row r="23" spans="1:15">
      <c r="A23" s="1" t="s">
        <v>149</v>
      </c>
      <c r="B23" s="1" t="s">
        <v>149</v>
      </c>
      <c r="C23" s="1" t="s">
        <v>94</v>
      </c>
      <c r="D23" s="1" t="s">
        <v>112</v>
      </c>
      <c r="E23" s="1" t="s">
        <v>112</v>
      </c>
      <c r="F23" s="5">
        <v>0</v>
      </c>
      <c r="G23" s="5">
        <v>0</v>
      </c>
      <c r="H23" s="5">
        <v>0.08</v>
      </c>
      <c r="I23" s="5">
        <v>-0.08</v>
      </c>
      <c r="J23" s="5">
        <v>632.39</v>
      </c>
      <c r="K23" s="5">
        <v>0</v>
      </c>
      <c r="L23" s="6"/>
      <c r="M23" s="6"/>
      <c r="N23" s="6"/>
      <c r="O23" s="6"/>
    </row>
    <row r="24" spans="1:15">
      <c r="A24" s="1" t="s">
        <v>150</v>
      </c>
      <c r="B24" s="1" t="s">
        <v>150</v>
      </c>
      <c r="C24" s="1" t="s">
        <v>94</v>
      </c>
      <c r="D24" s="1" t="s">
        <v>112</v>
      </c>
      <c r="E24" s="1" t="s">
        <v>112</v>
      </c>
      <c r="F24" s="5">
        <v>0</v>
      </c>
      <c r="G24" s="5">
        <v>0</v>
      </c>
      <c r="H24" s="5">
        <v>0.03</v>
      </c>
      <c r="I24" s="5">
        <v>-0.03</v>
      </c>
      <c r="J24" s="5">
        <v>632.36</v>
      </c>
      <c r="K24" s="5">
        <v>0</v>
      </c>
      <c r="L24" s="6"/>
      <c r="N24" s="6"/>
      <c r="O24" s="6"/>
    </row>
    <row r="25" spans="1:15">
      <c r="A25" s="1" t="s">
        <v>151</v>
      </c>
      <c r="B25" s="1" t="s">
        <v>151</v>
      </c>
      <c r="C25" s="1" t="s">
        <v>94</v>
      </c>
      <c r="D25" s="1" t="s">
        <v>112</v>
      </c>
      <c r="E25" s="1" t="s">
        <v>112</v>
      </c>
      <c r="F25" s="5">
        <v>0</v>
      </c>
      <c r="G25" s="5">
        <v>0</v>
      </c>
      <c r="H25" s="5">
        <v>0.03</v>
      </c>
      <c r="I25" s="5">
        <v>-0.03</v>
      </c>
      <c r="J25" s="5">
        <v>632.33</v>
      </c>
      <c r="K25" s="5">
        <v>0</v>
      </c>
      <c r="L25" s="6"/>
      <c r="M25" s="6"/>
      <c r="N25" s="6"/>
      <c r="O25" s="6"/>
    </row>
    <row r="26" spans="1:15">
      <c r="A26" s="1" t="str">
        <f>"20200514"</f>
        <v>20200514</v>
      </c>
      <c r="B26" s="1" t="str">
        <f>"20200514"</f>
        <v>20200514</v>
      </c>
      <c r="C26" s="1" t="str">
        <f>"证券买入"</f>
        <v>证券买入</v>
      </c>
      <c r="D26" s="1" t="str">
        <f>"150197"</f>
        <v>150197</v>
      </c>
      <c r="E26" s="1" t="str">
        <f>"有色B"</f>
        <v>有色B</v>
      </c>
      <c r="F26" s="1">
        <v>0.458</v>
      </c>
      <c r="G26" s="1">
        <v>3500</v>
      </c>
      <c r="H26" s="1">
        <v>1603</v>
      </c>
      <c r="I26" s="1">
        <v>-1608</v>
      </c>
      <c r="J26" s="1">
        <v>24.33</v>
      </c>
      <c r="K26" s="1">
        <v>3500</v>
      </c>
      <c r="L26" s="1" t="str">
        <f>"人民币"</f>
        <v>人民币</v>
      </c>
      <c r="M26" s="4" t="str">
        <f>"T4008358"</f>
        <v>T4008358</v>
      </c>
      <c r="N26" s="1" t="str">
        <f>"0149593788"</f>
        <v>0149593788</v>
      </c>
      <c r="O26" s="1" t="str">
        <f>"300100052893"</f>
        <v>300100052893</v>
      </c>
    </row>
    <row r="27" spans="1:15">
      <c r="A27" s="1" t="str">
        <f>"20200514"</f>
        <v>20200514</v>
      </c>
      <c r="B27" s="1" t="str">
        <f>"20200514"</f>
        <v>20200514</v>
      </c>
      <c r="C27" s="1" t="str">
        <f>"银行转证券"</f>
        <v>银行转证券</v>
      </c>
      <c r="D27" s="6"/>
      <c r="E27" s="6"/>
      <c r="F27" s="1">
        <v>0</v>
      </c>
      <c r="G27" s="1">
        <v>0</v>
      </c>
      <c r="H27" s="1">
        <v>0</v>
      </c>
      <c r="I27" s="1">
        <v>1000</v>
      </c>
      <c r="J27" s="1">
        <v>1632.33</v>
      </c>
      <c r="K27" s="1">
        <v>0</v>
      </c>
      <c r="L27" s="1" t="str">
        <f>"人民币"</f>
        <v>人民币</v>
      </c>
      <c r="M27"/>
      <c r="N27" s="6"/>
      <c r="O27" s="1" t="str">
        <f>"300100052893"</f>
        <v>300100052893</v>
      </c>
    </row>
    <row r="28" spans="1:15">
      <c r="A28" s="1" t="s">
        <v>152</v>
      </c>
      <c r="B28" s="1" t="s">
        <v>152</v>
      </c>
      <c r="C28" s="1" t="s">
        <v>94</v>
      </c>
      <c r="D28" s="1" t="s">
        <v>112</v>
      </c>
      <c r="E28" s="1" t="s">
        <v>112</v>
      </c>
      <c r="F28" s="5">
        <v>0</v>
      </c>
      <c r="G28" s="5">
        <v>0</v>
      </c>
      <c r="H28" s="5">
        <v>0.03</v>
      </c>
      <c r="I28" s="5">
        <v>-0.03</v>
      </c>
      <c r="J28" s="5">
        <v>24.3</v>
      </c>
      <c r="K28" s="5">
        <v>0</v>
      </c>
      <c r="L28" s="6"/>
      <c r="N28" s="6"/>
      <c r="O28" s="6"/>
    </row>
    <row r="29" spans="1:15">
      <c r="A29" s="1" t="s">
        <v>153</v>
      </c>
      <c r="B29" s="1" t="s">
        <v>153</v>
      </c>
      <c r="C29" s="1" t="s">
        <v>94</v>
      </c>
      <c r="D29" s="1" t="s">
        <v>112</v>
      </c>
      <c r="E29" s="1" t="s">
        <v>112</v>
      </c>
      <c r="F29" s="5">
        <v>0</v>
      </c>
      <c r="G29" s="5">
        <v>0</v>
      </c>
      <c r="H29" s="5">
        <v>0.03</v>
      </c>
      <c r="I29" s="5">
        <v>-0.03</v>
      </c>
      <c r="J29" s="5">
        <v>24.27</v>
      </c>
      <c r="K29" s="5">
        <v>0</v>
      </c>
      <c r="L29" s="6"/>
      <c r="M29" s="6"/>
      <c r="N29" s="6"/>
      <c r="O29" s="6"/>
    </row>
    <row r="30" spans="1:15">
      <c r="A30" s="1" t="s">
        <v>154</v>
      </c>
      <c r="B30" s="1" t="s">
        <v>154</v>
      </c>
      <c r="C30" s="1" t="s">
        <v>94</v>
      </c>
      <c r="D30" s="1" t="s">
        <v>112</v>
      </c>
      <c r="E30" s="1" t="s">
        <v>112</v>
      </c>
      <c r="F30" s="5">
        <v>0</v>
      </c>
      <c r="G30" s="5">
        <v>0</v>
      </c>
      <c r="H30" s="5">
        <v>0.08</v>
      </c>
      <c r="I30" s="5">
        <v>-0.08</v>
      </c>
      <c r="J30" s="5">
        <v>24.19</v>
      </c>
      <c r="K30" s="5">
        <v>0</v>
      </c>
      <c r="L30" s="6"/>
      <c r="M30" s="6"/>
      <c r="N30" s="6"/>
      <c r="O30" s="6"/>
    </row>
    <row r="31" spans="1:15">
      <c r="A31" s="1" t="s">
        <v>155</v>
      </c>
      <c r="B31" s="1" t="s">
        <v>155</v>
      </c>
      <c r="C31" s="1" t="s">
        <v>94</v>
      </c>
      <c r="D31" s="1" t="s">
        <v>112</v>
      </c>
      <c r="E31" s="1" t="s">
        <v>112</v>
      </c>
      <c r="F31" s="5">
        <v>0</v>
      </c>
      <c r="G31" s="5">
        <v>0</v>
      </c>
      <c r="H31" s="5">
        <v>0.03</v>
      </c>
      <c r="I31" s="5">
        <v>-0.03</v>
      </c>
      <c r="J31" s="5">
        <v>24.16</v>
      </c>
      <c r="K31" s="5">
        <v>0</v>
      </c>
      <c r="L31" s="6"/>
      <c r="N31" s="6"/>
      <c r="O31" s="6"/>
    </row>
    <row r="32" spans="1:15">
      <c r="A32" s="1" t="str">
        <f>"20200520"</f>
        <v>20200520</v>
      </c>
      <c r="B32" s="1" t="str">
        <f>"20200520"</f>
        <v>20200520</v>
      </c>
      <c r="C32" s="1" t="str">
        <f>"证券卖出"</f>
        <v>证券卖出</v>
      </c>
      <c r="D32" s="1" t="str">
        <f>"128023"</f>
        <v>128023</v>
      </c>
      <c r="E32" s="1" t="str">
        <f>"亚太转债"</f>
        <v>亚太转债</v>
      </c>
      <c r="F32" s="1">
        <v>95.24</v>
      </c>
      <c r="G32" s="1">
        <v>10</v>
      </c>
      <c r="H32" s="1">
        <v>952.4</v>
      </c>
      <c r="I32" s="1">
        <v>951.45</v>
      </c>
      <c r="J32" s="1">
        <v>5</v>
      </c>
      <c r="K32" s="1">
        <v>0</v>
      </c>
      <c r="L32" s="1" t="str">
        <f>"人民币"</f>
        <v>人民币</v>
      </c>
      <c r="M32" s="1" t="str">
        <f>"T4003566"</f>
        <v>T4003566</v>
      </c>
      <c r="N32" s="1" t="str">
        <f>"0149593788"</f>
        <v>0149593788</v>
      </c>
      <c r="O32" s="1" t="str">
        <f>"300100052893"</f>
        <v>300100052893</v>
      </c>
    </row>
    <row r="33" spans="1:15">
      <c r="A33" s="1" t="str">
        <f>"20200520"</f>
        <v>20200520</v>
      </c>
      <c r="B33" s="1" t="str">
        <f>"20200520"</f>
        <v>20200520</v>
      </c>
      <c r="C33" s="1" t="str">
        <f>"证券卖出"</f>
        <v>证券卖出</v>
      </c>
      <c r="D33" s="1" t="str">
        <f>"150197"</f>
        <v>150197</v>
      </c>
      <c r="E33" s="1" t="str">
        <f>"有色B"</f>
        <v>有色B</v>
      </c>
      <c r="F33" s="1">
        <v>0.485</v>
      </c>
      <c r="G33" s="1">
        <v>3500</v>
      </c>
      <c r="H33" s="1">
        <v>1697.5</v>
      </c>
      <c r="I33" s="1">
        <v>1692.5</v>
      </c>
      <c r="J33" s="1">
        <v>-946.45</v>
      </c>
      <c r="K33" s="1">
        <v>0</v>
      </c>
      <c r="L33" s="1" t="str">
        <f>"人民币"</f>
        <v>人民币</v>
      </c>
      <c r="M33" s="1" t="str">
        <f>"T4003533"</f>
        <v>T4003533</v>
      </c>
      <c r="N33" s="1" t="str">
        <f>"0149593788"</f>
        <v>0149593788</v>
      </c>
      <c r="O33" s="1" t="str">
        <f>"300100052893"</f>
        <v>300100052893</v>
      </c>
    </row>
    <row r="34" spans="1:15">
      <c r="A34" s="1" t="str">
        <f>"20200520"</f>
        <v>20200520</v>
      </c>
      <c r="B34" s="1" t="str">
        <f>"20200520"</f>
        <v>20200520</v>
      </c>
      <c r="C34" s="1" t="str">
        <f>"基金申购拨出"</f>
        <v>基金申购拨出</v>
      </c>
      <c r="D34" s="1" t="str">
        <f>"AA0007"</f>
        <v>AA0007</v>
      </c>
      <c r="E34" s="1" t="str">
        <f>"银河水星1号集合"</f>
        <v>银河水星1号集合</v>
      </c>
      <c r="F34" s="1">
        <v>0</v>
      </c>
      <c r="G34" s="1">
        <v>0</v>
      </c>
      <c r="H34" s="1">
        <v>0</v>
      </c>
      <c r="I34" s="1">
        <v>-2663.11</v>
      </c>
      <c r="J34" s="1">
        <v>-2638.95</v>
      </c>
      <c r="K34" s="1">
        <v>0</v>
      </c>
      <c r="L34" s="1" t="str">
        <f>"人民币"</f>
        <v>人民币</v>
      </c>
      <c r="M34"/>
      <c r="N34" s="1" t="str">
        <f>"980149593788"</f>
        <v>980149593788</v>
      </c>
      <c r="O34" s="1" t="str">
        <f>"300100052893"</f>
        <v>300100052893</v>
      </c>
    </row>
    <row r="35" spans="1:15">
      <c r="A35" s="1" t="s">
        <v>156</v>
      </c>
      <c r="B35" s="1" t="s">
        <v>156</v>
      </c>
      <c r="C35" s="1" t="s">
        <v>94</v>
      </c>
      <c r="D35" s="1" t="s">
        <v>112</v>
      </c>
      <c r="E35" s="1" t="s">
        <v>112</v>
      </c>
      <c r="F35" s="5">
        <v>0</v>
      </c>
      <c r="G35" s="5">
        <v>0</v>
      </c>
      <c r="H35" s="5">
        <v>0.03</v>
      </c>
      <c r="I35" s="5">
        <v>-0.03</v>
      </c>
      <c r="J35" s="5">
        <v>4.97</v>
      </c>
      <c r="K35" s="5">
        <v>0</v>
      </c>
      <c r="L35" s="6"/>
      <c r="N35" s="6"/>
      <c r="O35" s="6"/>
    </row>
    <row r="36" spans="1:15">
      <c r="A36" s="1" t="str">
        <f>"20200521"</f>
        <v>20200521</v>
      </c>
      <c r="B36" s="1" t="str">
        <f>"20200521"</f>
        <v>20200521</v>
      </c>
      <c r="C36" s="1" t="str">
        <f>"基金赎回拨入"</f>
        <v>基金赎回拨入</v>
      </c>
      <c r="D36" s="1" t="str">
        <f>"AA0007"</f>
        <v>AA0007</v>
      </c>
      <c r="E36" s="1" t="str">
        <f>"银河水星1号集合"</f>
        <v>银河水星1号集合</v>
      </c>
      <c r="F36" s="1">
        <v>0</v>
      </c>
      <c r="G36" s="1">
        <v>0</v>
      </c>
      <c r="H36" s="1">
        <v>0</v>
      </c>
      <c r="I36" s="1">
        <v>0.03</v>
      </c>
      <c r="J36" s="1">
        <v>5</v>
      </c>
      <c r="K36" s="1">
        <v>0</v>
      </c>
      <c r="L36" s="1" t="str">
        <f>"人民币"</f>
        <v>人民币</v>
      </c>
      <c r="M36" s="6"/>
      <c r="N36" s="1" t="str">
        <f>"980149593788"</f>
        <v>980149593788</v>
      </c>
      <c r="O36" s="1" t="str">
        <f>"300100052893"</f>
        <v>300100052893</v>
      </c>
    </row>
    <row r="37" spans="1:15">
      <c r="A37" s="1" t="s">
        <v>157</v>
      </c>
      <c r="B37" s="1" t="s">
        <v>157</v>
      </c>
      <c r="C37" s="1" t="s">
        <v>94</v>
      </c>
      <c r="D37" s="1" t="s">
        <v>112</v>
      </c>
      <c r="E37" s="1" t="s">
        <v>112</v>
      </c>
      <c r="F37" s="5">
        <v>0</v>
      </c>
      <c r="G37" s="5">
        <v>0</v>
      </c>
      <c r="H37" s="5">
        <v>0.03</v>
      </c>
      <c r="I37" s="5">
        <v>-0.03</v>
      </c>
      <c r="J37" s="5">
        <v>4.97</v>
      </c>
      <c r="K37" s="5">
        <v>0</v>
      </c>
      <c r="L37" s="6"/>
      <c r="M37" s="6"/>
      <c r="N37" s="6"/>
      <c r="O37" s="6"/>
    </row>
    <row r="38" spans="1:15">
      <c r="A38" s="1" t="str">
        <f>"20200522"</f>
        <v>20200522</v>
      </c>
      <c r="B38" s="1" t="str">
        <f>"20200522"</f>
        <v>20200522</v>
      </c>
      <c r="C38" s="1" t="str">
        <f>"基金赎回拨入"</f>
        <v>基金赎回拨入</v>
      </c>
      <c r="D38" s="1" t="str">
        <f>"AA0007"</f>
        <v>AA0007</v>
      </c>
      <c r="E38" s="1" t="str">
        <f>"银河水星1号集合"</f>
        <v>银河水星1号集合</v>
      </c>
      <c r="F38" s="1">
        <v>0</v>
      </c>
      <c r="G38" s="1">
        <v>0</v>
      </c>
      <c r="H38" s="1">
        <v>0</v>
      </c>
      <c r="I38" s="1">
        <v>0.03</v>
      </c>
      <c r="J38" s="1">
        <v>5</v>
      </c>
      <c r="K38" s="1">
        <v>0</v>
      </c>
      <c r="L38" s="1" t="str">
        <f>"人民币"</f>
        <v>人民币</v>
      </c>
      <c r="M38" s="6"/>
      <c r="N38" s="1" t="str">
        <f>"980149593788"</f>
        <v>980149593788</v>
      </c>
      <c r="O38" s="1" t="str">
        <f>"300100052893"</f>
        <v>300100052893</v>
      </c>
    </row>
    <row r="39" spans="1:15">
      <c r="A39" s="1" t="s">
        <v>158</v>
      </c>
      <c r="B39" s="1" t="s">
        <v>158</v>
      </c>
      <c r="C39" s="1" t="s">
        <v>94</v>
      </c>
      <c r="D39" s="1" t="s">
        <v>112</v>
      </c>
      <c r="E39" s="1" t="s">
        <v>112</v>
      </c>
      <c r="F39" s="5">
        <v>0</v>
      </c>
      <c r="G39" s="5">
        <v>0</v>
      </c>
      <c r="H39" s="5">
        <v>0.03</v>
      </c>
      <c r="I39" s="5">
        <v>-0.03</v>
      </c>
      <c r="J39" s="5">
        <v>4.97</v>
      </c>
      <c r="K39" s="5">
        <v>0</v>
      </c>
      <c r="L39" s="6"/>
      <c r="M39" s="6"/>
      <c r="N39" s="6"/>
      <c r="O39" s="6"/>
    </row>
    <row r="40" spans="1:15">
      <c r="A40" s="1" t="str">
        <f>"20200525"</f>
        <v>20200525</v>
      </c>
      <c r="B40" s="1" t="str">
        <f>"20200525"</f>
        <v>20200525</v>
      </c>
      <c r="C40" s="1" t="str">
        <f>"基金赎回拨入"</f>
        <v>基金赎回拨入</v>
      </c>
      <c r="D40" s="1" t="str">
        <f>"AA0007"</f>
        <v>AA0007</v>
      </c>
      <c r="E40" s="1" t="str">
        <f>"银河水星1号集合"</f>
        <v>银河水星1号集合</v>
      </c>
      <c r="F40" s="1">
        <v>0</v>
      </c>
      <c r="G40" s="1">
        <v>0</v>
      </c>
      <c r="H40" s="1">
        <v>0</v>
      </c>
      <c r="I40" s="1">
        <v>0.03</v>
      </c>
      <c r="J40" s="1">
        <v>5</v>
      </c>
      <c r="K40" s="1">
        <v>0</v>
      </c>
      <c r="L40" s="1" t="str">
        <f>"人民币"</f>
        <v>人民币</v>
      </c>
      <c r="M40"/>
      <c r="N40" s="1" t="str">
        <f>"980149593788"</f>
        <v>980149593788</v>
      </c>
      <c r="O40" s="1" t="str">
        <f>"300100052893"</f>
        <v>300100052893</v>
      </c>
    </row>
    <row r="41" spans="1:15">
      <c r="A41" s="1" t="s">
        <v>159</v>
      </c>
      <c r="B41" s="1" t="s">
        <v>159</v>
      </c>
      <c r="C41" s="1" t="s">
        <v>94</v>
      </c>
      <c r="D41" s="1" t="s">
        <v>112</v>
      </c>
      <c r="E41" s="1" t="s">
        <v>112</v>
      </c>
      <c r="F41" s="5">
        <v>0</v>
      </c>
      <c r="G41" s="5">
        <v>0</v>
      </c>
      <c r="H41" s="5">
        <v>0.06</v>
      </c>
      <c r="I41" s="5">
        <v>-0.06</v>
      </c>
      <c r="J41" s="5">
        <v>4.94</v>
      </c>
      <c r="K41" s="5">
        <v>0</v>
      </c>
      <c r="L41" s="6"/>
      <c r="N41" s="6"/>
      <c r="O41" s="6"/>
    </row>
    <row r="42" spans="1:15">
      <c r="A42" s="1" t="str">
        <f>"20200526"</f>
        <v>20200526</v>
      </c>
      <c r="B42" s="1" t="str">
        <f>"20200526"</f>
        <v>20200526</v>
      </c>
      <c r="C42" s="1" t="str">
        <f>"基金赎回拨入"</f>
        <v>基金赎回拨入</v>
      </c>
      <c r="D42" s="1" t="str">
        <f>"AA0007"</f>
        <v>AA0007</v>
      </c>
      <c r="E42" s="1" t="str">
        <f>"银河水星1号集合"</f>
        <v>银河水星1号集合</v>
      </c>
      <c r="F42" s="1">
        <v>0</v>
      </c>
      <c r="G42" s="1">
        <v>0</v>
      </c>
      <c r="H42" s="1">
        <v>0</v>
      </c>
      <c r="I42" s="1">
        <v>0.06</v>
      </c>
      <c r="J42" s="1">
        <v>5</v>
      </c>
      <c r="K42" s="1">
        <v>0</v>
      </c>
      <c r="L42" s="1" t="str">
        <f>"人民币"</f>
        <v>人民币</v>
      </c>
      <c r="M42"/>
      <c r="N42" s="1" t="str">
        <f>"980149593788"</f>
        <v>980149593788</v>
      </c>
      <c r="O42" s="1" t="str">
        <f>"300100052893"</f>
        <v>300100052893</v>
      </c>
    </row>
    <row r="43" spans="1:11">
      <c r="A43" s="1" t="s">
        <v>160</v>
      </c>
      <c r="B43" s="1" t="s">
        <v>160</v>
      </c>
      <c r="C43" s="1" t="s">
        <v>94</v>
      </c>
      <c r="D43" s="1" t="s">
        <v>112</v>
      </c>
      <c r="E43" s="1" t="s">
        <v>112</v>
      </c>
      <c r="F43" s="5">
        <v>0</v>
      </c>
      <c r="G43" s="5">
        <v>0</v>
      </c>
      <c r="H43" s="5">
        <v>0.02</v>
      </c>
      <c r="I43" s="5">
        <v>-0.02</v>
      </c>
      <c r="J43" s="5">
        <v>4.98</v>
      </c>
      <c r="K43" s="5">
        <v>0</v>
      </c>
    </row>
    <row r="44" spans="1:15">
      <c r="A44" s="1" t="str">
        <f>"20200527"</f>
        <v>20200527</v>
      </c>
      <c r="B44" s="1" t="str">
        <f>"20200527"</f>
        <v>20200527</v>
      </c>
      <c r="C44" s="1" t="str">
        <f>"基金赎回拨入"</f>
        <v>基金赎回拨入</v>
      </c>
      <c r="D44" s="1" t="str">
        <f>"AA0007"</f>
        <v>AA0007</v>
      </c>
      <c r="E44" s="1" t="str">
        <f>"银河水星1号集合"</f>
        <v>银河水星1号集合</v>
      </c>
      <c r="F44" s="1">
        <v>0</v>
      </c>
      <c r="G44" s="1">
        <v>0</v>
      </c>
      <c r="H44" s="1">
        <v>0</v>
      </c>
      <c r="I44" s="1">
        <v>0.02</v>
      </c>
      <c r="J44" s="1">
        <v>5</v>
      </c>
      <c r="K44" s="1">
        <v>0</v>
      </c>
      <c r="L44" s="4" t="str">
        <f>"人民币"</f>
        <v>人民币</v>
      </c>
      <c r="M44"/>
      <c r="N44" s="4" t="str">
        <f>"980149593788"</f>
        <v>980149593788</v>
      </c>
      <c r="O44" s="4" t="str">
        <f>"300100052893"</f>
        <v>300100052893</v>
      </c>
    </row>
    <row r="45" spans="1:11">
      <c r="A45" s="1" t="s">
        <v>161</v>
      </c>
      <c r="B45" s="1" t="s">
        <v>161</v>
      </c>
      <c r="C45" s="1" t="s">
        <v>94</v>
      </c>
      <c r="D45" s="1" t="s">
        <v>112</v>
      </c>
      <c r="E45" s="1" t="s">
        <v>112</v>
      </c>
      <c r="F45" s="5">
        <v>0</v>
      </c>
      <c r="G45" s="5">
        <v>0</v>
      </c>
      <c r="H45" s="5">
        <v>0.03</v>
      </c>
      <c r="I45" s="5">
        <v>-0.03</v>
      </c>
      <c r="J45" s="5">
        <v>4.97</v>
      </c>
      <c r="K45" s="5">
        <v>0</v>
      </c>
    </row>
    <row r="46" spans="1:15">
      <c r="A46" s="1" t="str">
        <f>"20200528"</f>
        <v>20200528</v>
      </c>
      <c r="B46" s="1" t="str">
        <f>"20200528"</f>
        <v>20200528</v>
      </c>
      <c r="C46" s="1" t="str">
        <f>"证券买入"</f>
        <v>证券买入</v>
      </c>
      <c r="D46" s="1" t="str">
        <f>"150197"</f>
        <v>150197</v>
      </c>
      <c r="E46" s="1" t="str">
        <f>"有色B"</f>
        <v>有色B</v>
      </c>
      <c r="F46" s="1">
        <v>0.438</v>
      </c>
      <c r="G46" s="1">
        <v>6000</v>
      </c>
      <c r="H46" s="1">
        <v>2628</v>
      </c>
      <c r="I46" s="1">
        <v>-2633</v>
      </c>
      <c r="J46" s="1">
        <v>34.91</v>
      </c>
      <c r="K46" s="1">
        <v>6000</v>
      </c>
      <c r="L46" s="4" t="str">
        <f>"人民币"</f>
        <v>人民币</v>
      </c>
      <c r="M46" s="4" t="str">
        <f>"T4007131"</f>
        <v>T4007131</v>
      </c>
      <c r="N46" s="4" t="str">
        <f>"0149593788"</f>
        <v>0149593788</v>
      </c>
      <c r="O46" s="4" t="str">
        <f>"300100052893"</f>
        <v>300100052893</v>
      </c>
    </row>
    <row r="47" spans="1:15">
      <c r="A47" s="1" t="str">
        <f>"20200528"</f>
        <v>20200528</v>
      </c>
      <c r="B47" s="1" t="str">
        <f>"20200528"</f>
        <v>20200528</v>
      </c>
      <c r="C47" s="1" t="str">
        <f>"基金赎回拨入"</f>
        <v>基金赎回拨入</v>
      </c>
      <c r="D47" s="1" t="str">
        <f>"AA0007"</f>
        <v>AA0007</v>
      </c>
      <c r="E47" s="1" t="str">
        <f>"银河水星1号集合"</f>
        <v>银河水星1号集合</v>
      </c>
      <c r="F47" s="1">
        <v>0</v>
      </c>
      <c r="G47" s="1">
        <v>2662</v>
      </c>
      <c r="H47" s="1">
        <v>0</v>
      </c>
      <c r="I47" s="1">
        <v>2662.94</v>
      </c>
      <c r="J47" s="1">
        <v>2667.91</v>
      </c>
      <c r="K47" s="1">
        <v>0</v>
      </c>
      <c r="L47" s="4" t="str">
        <f>"人民币"</f>
        <v>人民币</v>
      </c>
      <c r="M47"/>
      <c r="N47" s="4" t="str">
        <f>"980149593788"</f>
        <v>980149593788</v>
      </c>
      <c r="O47" s="4" t="str">
        <f>"300100052893"</f>
        <v>300100052893</v>
      </c>
    </row>
    <row r="48" spans="1:11">
      <c r="A48" s="1" t="s">
        <v>162</v>
      </c>
      <c r="B48" s="1" t="s">
        <v>162</v>
      </c>
      <c r="C48" s="1" t="s">
        <v>94</v>
      </c>
      <c r="D48" s="1" t="s">
        <v>112</v>
      </c>
      <c r="E48" s="1" t="s">
        <v>112</v>
      </c>
      <c r="F48" s="5">
        <v>0</v>
      </c>
      <c r="G48" s="5">
        <v>0</v>
      </c>
      <c r="H48" s="5">
        <v>0.03</v>
      </c>
      <c r="I48" s="5">
        <v>-0.03</v>
      </c>
      <c r="J48" s="5">
        <v>34.88</v>
      </c>
      <c r="K48" s="5">
        <v>0</v>
      </c>
    </row>
    <row r="49" spans="1:15">
      <c r="A49" s="1" t="str">
        <f>"20200529"</f>
        <v>20200529</v>
      </c>
      <c r="B49" s="1" t="str">
        <f>"20200529"</f>
        <v>20200529</v>
      </c>
      <c r="C49" s="1" t="str">
        <f>"证券买入"</f>
        <v>证券买入</v>
      </c>
      <c r="D49" s="1" t="str">
        <f>"150197"</f>
        <v>150197</v>
      </c>
      <c r="E49" s="1" t="str">
        <f>"有色B"</f>
        <v>有色B</v>
      </c>
      <c r="F49" s="1">
        <v>0.446</v>
      </c>
      <c r="G49" s="1">
        <v>6700</v>
      </c>
      <c r="H49" s="1">
        <v>2988.2</v>
      </c>
      <c r="I49" s="1">
        <v>-2993.2</v>
      </c>
      <c r="J49" s="1">
        <v>41.68</v>
      </c>
      <c r="K49" s="1">
        <v>12700</v>
      </c>
      <c r="L49" s="4" t="str">
        <f>"人民币"</f>
        <v>人民币</v>
      </c>
      <c r="M49" s="4" t="str">
        <f>"T4006252"</f>
        <v>T4006252</v>
      </c>
      <c r="N49" s="4" t="str">
        <f>"0149593788"</f>
        <v>0149593788</v>
      </c>
      <c r="O49" s="4" t="str">
        <f>"300100052893"</f>
        <v>300100052893</v>
      </c>
    </row>
    <row r="50" spans="1:15">
      <c r="A50" s="1" t="str">
        <f>"20200529"</f>
        <v>20200529</v>
      </c>
      <c r="B50" s="1" t="str">
        <f>"20200529"</f>
        <v>20200529</v>
      </c>
      <c r="C50" s="1" t="str">
        <f>"银行转证券"</f>
        <v>银行转证券</v>
      </c>
      <c r="D50" s="6"/>
      <c r="E50" s="6"/>
      <c r="F50" s="1">
        <v>0</v>
      </c>
      <c r="G50" s="1">
        <v>0</v>
      </c>
      <c r="H50" s="1">
        <v>0</v>
      </c>
      <c r="I50" s="1">
        <v>3000</v>
      </c>
      <c r="J50" s="1">
        <v>3034.88</v>
      </c>
      <c r="K50" s="1">
        <v>0</v>
      </c>
      <c r="L50" s="4" t="str">
        <f>"人民币"</f>
        <v>人民币</v>
      </c>
      <c r="M50"/>
      <c r="N50"/>
      <c r="O50" s="4" t="str">
        <f>"300100052893"</f>
        <v>300100052893</v>
      </c>
    </row>
    <row r="51" spans="1:11">
      <c r="A51" s="1" t="s">
        <v>163</v>
      </c>
      <c r="B51" s="1" t="s">
        <v>163</v>
      </c>
      <c r="C51" s="1" t="s">
        <v>94</v>
      </c>
      <c r="D51" s="1" t="s">
        <v>112</v>
      </c>
      <c r="E51" s="1" t="s">
        <v>112</v>
      </c>
      <c r="F51" s="5">
        <v>0</v>
      </c>
      <c r="G51" s="5">
        <v>0</v>
      </c>
      <c r="H51" s="5">
        <v>0.03</v>
      </c>
      <c r="I51" s="5">
        <v>-0.03</v>
      </c>
      <c r="J51" s="5">
        <v>41.65</v>
      </c>
      <c r="K51" s="5">
        <v>0</v>
      </c>
    </row>
    <row r="52" spans="1:15">
      <c r="A52" s="1" t="str">
        <f>"20200601"</f>
        <v>20200601</v>
      </c>
      <c r="B52" s="1" t="str">
        <f>"20200601"</f>
        <v>20200601</v>
      </c>
      <c r="C52" s="1" t="str">
        <f>"证券卖出"</f>
        <v>证券卖出</v>
      </c>
      <c r="D52" s="1" t="str">
        <f>"150197"</f>
        <v>150197</v>
      </c>
      <c r="E52" s="1" t="str">
        <f>"有色B"</f>
        <v>有色B</v>
      </c>
      <c r="F52" s="1">
        <v>0.475</v>
      </c>
      <c r="G52" s="1">
        <v>12700</v>
      </c>
      <c r="H52" s="1">
        <v>6032.5</v>
      </c>
      <c r="I52" s="1">
        <v>6027.5</v>
      </c>
      <c r="J52" s="1">
        <v>5</v>
      </c>
      <c r="K52" s="1">
        <v>0</v>
      </c>
      <c r="L52" s="4" t="str">
        <f>"人民币"</f>
        <v>人民币</v>
      </c>
      <c r="M52" s="4" t="str">
        <f>"T4014318"</f>
        <v>T4014318</v>
      </c>
      <c r="N52" s="4" t="str">
        <f>"0149593788"</f>
        <v>0149593788</v>
      </c>
      <c r="O52" s="4" t="str">
        <f>"300100052893"</f>
        <v>300100052893</v>
      </c>
    </row>
    <row r="53" spans="1:15">
      <c r="A53" s="1" t="str">
        <f>"20200601"</f>
        <v>20200601</v>
      </c>
      <c r="B53" s="1" t="str">
        <f>"20200601"</f>
        <v>20200601</v>
      </c>
      <c r="C53" s="1" t="str">
        <f>"基金申购拨出"</f>
        <v>基金申购拨出</v>
      </c>
      <c r="D53" s="1" t="str">
        <f>"AA0007"</f>
        <v>AA0007</v>
      </c>
      <c r="E53" s="1" t="str">
        <f>"银河水星1号集合"</f>
        <v>银河水星1号集合</v>
      </c>
      <c r="F53" s="1">
        <v>0</v>
      </c>
      <c r="G53" s="1">
        <v>0</v>
      </c>
      <c r="H53" s="1">
        <v>0</v>
      </c>
      <c r="I53" s="1">
        <v>-6064.15</v>
      </c>
      <c r="J53" s="1">
        <v>-6022.5</v>
      </c>
      <c r="K53" s="1">
        <v>0</v>
      </c>
      <c r="L53" s="4" t="str">
        <f>"人民币"</f>
        <v>人民币</v>
      </c>
      <c r="N53" s="4" t="str">
        <f>"980149593788"</f>
        <v>980149593788</v>
      </c>
      <c r="O53" s="4" t="str">
        <f>"300100052893"</f>
        <v>300100052893</v>
      </c>
    </row>
    <row r="54" spans="1:11">
      <c r="A54" s="1" t="s">
        <v>164</v>
      </c>
      <c r="B54" s="1" t="s">
        <v>164</v>
      </c>
      <c r="C54" s="1" t="s">
        <v>94</v>
      </c>
      <c r="D54" s="1" t="s">
        <v>112</v>
      </c>
      <c r="E54" s="1" t="s">
        <v>112</v>
      </c>
      <c r="F54" s="5">
        <v>0</v>
      </c>
      <c r="G54" s="5">
        <v>0</v>
      </c>
      <c r="H54" s="5">
        <v>0.08</v>
      </c>
      <c r="I54" s="5">
        <v>-0.08</v>
      </c>
      <c r="J54" s="5">
        <v>4.92</v>
      </c>
      <c r="K54" s="5">
        <v>0</v>
      </c>
    </row>
    <row r="55" spans="1:15">
      <c r="A55" s="1" t="str">
        <f>"20200602"</f>
        <v>20200602</v>
      </c>
      <c r="B55" s="1" t="str">
        <f>"20200602"</f>
        <v>20200602</v>
      </c>
      <c r="C55" s="1" t="str">
        <f>"基金赎回拨入"</f>
        <v>基金赎回拨入</v>
      </c>
      <c r="D55" s="1" t="str">
        <f>"AA0007"</f>
        <v>AA0007</v>
      </c>
      <c r="E55" s="1" t="str">
        <f>"银河水星1号集合"</f>
        <v>银河水星1号集合</v>
      </c>
      <c r="F55" s="1">
        <v>0</v>
      </c>
      <c r="G55" s="1">
        <v>0</v>
      </c>
      <c r="H55" s="1">
        <v>0</v>
      </c>
      <c r="I55" s="1">
        <v>0.08</v>
      </c>
      <c r="J55" s="1">
        <v>5</v>
      </c>
      <c r="K55" s="1">
        <v>0</v>
      </c>
      <c r="L55" s="4" t="str">
        <f>"人民币"</f>
        <v>人民币</v>
      </c>
      <c r="N55" s="4" t="str">
        <f>"980149593788"</f>
        <v>980149593788</v>
      </c>
      <c r="O55" s="4" t="str">
        <f>"300100052893"</f>
        <v>300100052893</v>
      </c>
    </row>
    <row r="56" spans="1:11">
      <c r="A56" s="1" t="s">
        <v>165</v>
      </c>
      <c r="B56" s="1" t="s">
        <v>165</v>
      </c>
      <c r="C56" s="1" t="s">
        <v>94</v>
      </c>
      <c r="D56" s="1" t="s">
        <v>112</v>
      </c>
      <c r="E56" s="1" t="s">
        <v>112</v>
      </c>
      <c r="F56" s="5">
        <v>0</v>
      </c>
      <c r="G56" s="5">
        <v>0</v>
      </c>
      <c r="H56" s="5">
        <v>0.02</v>
      </c>
      <c r="I56" s="5">
        <v>-0.02</v>
      </c>
      <c r="J56" s="5">
        <v>4.98</v>
      </c>
      <c r="K56" s="5">
        <v>0</v>
      </c>
    </row>
    <row r="57" spans="1:15">
      <c r="A57" s="1" t="str">
        <f>"20200603"</f>
        <v>20200603</v>
      </c>
      <c r="B57" s="1" t="str">
        <f>"20200603"</f>
        <v>20200603</v>
      </c>
      <c r="C57" s="1" t="str">
        <f>"基金赎回拨入"</f>
        <v>基金赎回拨入</v>
      </c>
      <c r="D57" s="1" t="str">
        <f>"AA0007"</f>
        <v>AA0007</v>
      </c>
      <c r="E57" s="1" t="str">
        <f>"银河水星1号集合"</f>
        <v>银河水星1号集合</v>
      </c>
      <c r="F57" s="1">
        <v>0</v>
      </c>
      <c r="G57" s="1">
        <v>0</v>
      </c>
      <c r="H57" s="1">
        <v>0</v>
      </c>
      <c r="I57" s="1">
        <v>0.02</v>
      </c>
      <c r="J57" s="1">
        <v>5</v>
      </c>
      <c r="K57" s="1">
        <v>0</v>
      </c>
      <c r="L57" s="4" t="str">
        <f>"人民币"</f>
        <v>人民币</v>
      </c>
      <c r="N57" s="4" t="str">
        <f>"980149593788"</f>
        <v>980149593788</v>
      </c>
      <c r="O57" s="4" t="str">
        <f>"300100052893"</f>
        <v>300100052893</v>
      </c>
    </row>
    <row r="58" spans="1:11">
      <c r="A58" s="1" t="s">
        <v>166</v>
      </c>
      <c r="B58" s="1" t="s">
        <v>166</v>
      </c>
      <c r="C58" s="1" t="s">
        <v>94</v>
      </c>
      <c r="D58" s="1" t="s">
        <v>112</v>
      </c>
      <c r="E58" s="1" t="s">
        <v>112</v>
      </c>
      <c r="F58" s="5">
        <v>0</v>
      </c>
      <c r="G58" s="5">
        <v>0</v>
      </c>
      <c r="H58" s="5">
        <v>0.02</v>
      </c>
      <c r="I58" s="5">
        <v>-0.02</v>
      </c>
      <c r="J58" s="5">
        <v>4.98</v>
      </c>
      <c r="K58" s="5">
        <v>0</v>
      </c>
    </row>
    <row r="59" spans="1:15">
      <c r="A59" s="1" t="str">
        <f>"20200604"</f>
        <v>20200604</v>
      </c>
      <c r="B59" s="1" t="str">
        <f>"20200604"</f>
        <v>20200604</v>
      </c>
      <c r="C59" s="1" t="str">
        <f>"基金赎回拨入"</f>
        <v>基金赎回拨入</v>
      </c>
      <c r="D59" s="1" t="str">
        <f>"AA0007"</f>
        <v>AA0007</v>
      </c>
      <c r="E59" s="1" t="str">
        <f>"银河水星1号集合"</f>
        <v>银河水星1号集合</v>
      </c>
      <c r="F59" s="1">
        <v>0</v>
      </c>
      <c r="G59" s="1">
        <v>0</v>
      </c>
      <c r="H59" s="1">
        <v>0</v>
      </c>
      <c r="I59" s="1">
        <v>0.02</v>
      </c>
      <c r="J59" s="1">
        <v>5</v>
      </c>
      <c r="K59" s="1">
        <v>0</v>
      </c>
      <c r="L59" s="4" t="str">
        <f>"人民币"</f>
        <v>人民币</v>
      </c>
      <c r="N59" s="4" t="str">
        <f>"980149593788"</f>
        <v>980149593788</v>
      </c>
      <c r="O59" s="4" t="str">
        <f>"300100052893"</f>
        <v>300100052893</v>
      </c>
    </row>
    <row r="60" spans="1:11">
      <c r="A60" s="1" t="s">
        <v>167</v>
      </c>
      <c r="B60" s="1" t="s">
        <v>167</v>
      </c>
      <c r="C60" s="1" t="s">
        <v>94</v>
      </c>
      <c r="D60" s="1" t="s">
        <v>112</v>
      </c>
      <c r="E60" s="1" t="s">
        <v>112</v>
      </c>
      <c r="F60" s="5">
        <v>0</v>
      </c>
      <c r="G60" s="5">
        <v>0</v>
      </c>
      <c r="H60" s="5">
        <v>0.03</v>
      </c>
      <c r="I60" s="5">
        <v>-0.03</v>
      </c>
      <c r="J60" s="5">
        <v>4.97</v>
      </c>
      <c r="K60" s="5">
        <v>0</v>
      </c>
    </row>
    <row r="61" spans="1:15">
      <c r="A61" s="1" t="str">
        <f>"20200605"</f>
        <v>20200605</v>
      </c>
      <c r="B61" s="1" t="str">
        <f>"20200605"</f>
        <v>20200605</v>
      </c>
      <c r="C61" s="1" t="str">
        <f>"基金赎回拨入"</f>
        <v>基金赎回拨入</v>
      </c>
      <c r="D61" s="1" t="str">
        <f>"AA0007"</f>
        <v>AA0007</v>
      </c>
      <c r="E61" s="1" t="str">
        <f>"银河水星1号集合"</f>
        <v>银河水星1号集合</v>
      </c>
      <c r="F61" s="1">
        <v>0</v>
      </c>
      <c r="G61" s="1">
        <v>0</v>
      </c>
      <c r="H61" s="1">
        <v>0</v>
      </c>
      <c r="I61" s="1">
        <v>0.03</v>
      </c>
      <c r="J61" s="1">
        <v>5</v>
      </c>
      <c r="K61" s="1">
        <v>0</v>
      </c>
      <c r="L61" s="4" t="str">
        <f>"人民币"</f>
        <v>人民币</v>
      </c>
      <c r="N61" s="4" t="str">
        <f>"980149593788"</f>
        <v>980149593788</v>
      </c>
      <c r="O61" s="4" t="str">
        <f>"300100052893"</f>
        <v>300100052893</v>
      </c>
    </row>
    <row r="62" spans="1:11">
      <c r="A62" s="1" t="s">
        <v>168</v>
      </c>
      <c r="B62" s="1" t="s">
        <v>168</v>
      </c>
      <c r="C62" s="1" t="s">
        <v>94</v>
      </c>
      <c r="D62" s="1" t="s">
        <v>112</v>
      </c>
      <c r="E62" s="1" t="s">
        <v>112</v>
      </c>
      <c r="F62" s="5">
        <v>0</v>
      </c>
      <c r="G62" s="5">
        <v>0</v>
      </c>
      <c r="H62" s="5">
        <v>0.03</v>
      </c>
      <c r="I62" s="5">
        <v>-0.03</v>
      </c>
      <c r="J62" s="5">
        <v>4.97</v>
      </c>
      <c r="K62" s="5">
        <v>0</v>
      </c>
    </row>
    <row r="63" spans="1:15">
      <c r="A63" s="1" t="str">
        <f>"20200608"</f>
        <v>20200608</v>
      </c>
      <c r="B63" s="1" t="str">
        <f>"20200608"</f>
        <v>20200608</v>
      </c>
      <c r="C63" s="1" t="str">
        <f>"基金赎回拨入"</f>
        <v>基金赎回拨入</v>
      </c>
      <c r="D63" s="1" t="str">
        <f>"AA0007"</f>
        <v>AA0007</v>
      </c>
      <c r="E63" s="1" t="str">
        <f>"银河水星1号集合"</f>
        <v>银河水星1号集合</v>
      </c>
      <c r="F63" s="1">
        <v>0</v>
      </c>
      <c r="G63" s="1">
        <v>0</v>
      </c>
      <c r="H63" s="1">
        <v>0</v>
      </c>
      <c r="I63" s="1">
        <v>0.03</v>
      </c>
      <c r="J63" s="1">
        <v>5</v>
      </c>
      <c r="K63" s="1">
        <v>0</v>
      </c>
      <c r="L63" s="4" t="str">
        <f>"人民币"</f>
        <v>人民币</v>
      </c>
      <c r="M63"/>
      <c r="N63" s="4" t="str">
        <f>"980149593788"</f>
        <v>980149593788</v>
      </c>
      <c r="O63" s="4" t="str">
        <f>"300100052893"</f>
        <v>300100052893</v>
      </c>
    </row>
    <row r="64" spans="1:11">
      <c r="A64" s="1" t="s">
        <v>169</v>
      </c>
      <c r="B64" s="1" t="s">
        <v>169</v>
      </c>
      <c r="C64" s="1" t="s">
        <v>94</v>
      </c>
      <c r="D64" s="1" t="s">
        <v>112</v>
      </c>
      <c r="E64" s="1" t="s">
        <v>112</v>
      </c>
      <c r="F64" s="5">
        <v>0</v>
      </c>
      <c r="G64" s="5">
        <v>0</v>
      </c>
      <c r="H64" s="5">
        <v>0.08</v>
      </c>
      <c r="I64" s="5">
        <v>-0.08</v>
      </c>
      <c r="J64" s="5">
        <v>4.92</v>
      </c>
      <c r="K64" s="5">
        <v>0</v>
      </c>
    </row>
    <row r="65" spans="1:15">
      <c r="A65" s="1" t="str">
        <f>"20200609"</f>
        <v>20200609</v>
      </c>
      <c r="B65" s="1" t="str">
        <f>"20200609"</f>
        <v>20200609</v>
      </c>
      <c r="C65" s="1" t="str">
        <f>"证券买入"</f>
        <v>证券买入</v>
      </c>
      <c r="D65" s="1" t="str">
        <f>"502012"</f>
        <v>502012</v>
      </c>
      <c r="E65" s="1" t="str">
        <f>"证券B"</f>
        <v>证券B</v>
      </c>
      <c r="F65" s="1">
        <v>1.059</v>
      </c>
      <c r="G65" s="1">
        <v>5700</v>
      </c>
      <c r="H65" s="1">
        <v>6036.3</v>
      </c>
      <c r="I65" s="1">
        <v>-6041.3</v>
      </c>
      <c r="J65" s="1">
        <v>27.59</v>
      </c>
      <c r="K65" s="1">
        <v>5700</v>
      </c>
      <c r="L65" s="4" t="str">
        <f>"人民币"</f>
        <v>人民币</v>
      </c>
      <c r="M65" s="4" t="str">
        <f>"0136007070"</f>
        <v>0136007070</v>
      </c>
      <c r="N65" s="4" t="str">
        <f>"A368402599"</f>
        <v>A368402599</v>
      </c>
      <c r="O65" s="4" t="str">
        <f>"300100052893"</f>
        <v>300100052893</v>
      </c>
    </row>
    <row r="66" spans="1:15">
      <c r="A66" s="1" t="str">
        <f>"20200609"</f>
        <v>20200609</v>
      </c>
      <c r="B66" s="1" t="str">
        <f>"20200609"</f>
        <v>20200609</v>
      </c>
      <c r="C66" s="1" t="str">
        <f>"基金赎回拨入"</f>
        <v>基金赎回拨入</v>
      </c>
      <c r="D66" s="1" t="str">
        <f>"AA0007"</f>
        <v>AA0007</v>
      </c>
      <c r="E66" s="1" t="str">
        <f>"银河水星1号集合"</f>
        <v>银河水星1号集合</v>
      </c>
      <c r="F66" s="1">
        <v>0</v>
      </c>
      <c r="G66" s="1">
        <v>6063</v>
      </c>
      <c r="H66" s="1">
        <v>0</v>
      </c>
      <c r="I66" s="1">
        <v>6063.97</v>
      </c>
      <c r="J66" s="1">
        <v>6068.89</v>
      </c>
      <c r="K66" s="1">
        <v>0</v>
      </c>
      <c r="L66" s="4" t="str">
        <f>"人民币"</f>
        <v>人民币</v>
      </c>
      <c r="N66" s="4" t="str">
        <f>"980149593788"</f>
        <v>980149593788</v>
      </c>
      <c r="O66" s="4" t="str">
        <f>"300100052893"</f>
        <v>300100052893</v>
      </c>
    </row>
    <row r="67" spans="1:11">
      <c r="A67" s="1" t="s">
        <v>170</v>
      </c>
      <c r="B67" s="1" t="s">
        <v>170</v>
      </c>
      <c r="C67" s="1" t="s">
        <v>94</v>
      </c>
      <c r="D67" s="1" t="s">
        <v>112</v>
      </c>
      <c r="E67" s="1" t="s">
        <v>112</v>
      </c>
      <c r="F67" s="5">
        <v>0</v>
      </c>
      <c r="G67" s="5">
        <v>0</v>
      </c>
      <c r="H67" s="5">
        <v>0.03</v>
      </c>
      <c r="I67" s="5">
        <v>-0.03</v>
      </c>
      <c r="J67" s="5">
        <v>27.56</v>
      </c>
      <c r="K67" s="5">
        <v>0</v>
      </c>
    </row>
    <row r="68" spans="1:11">
      <c r="A68" s="1" t="s">
        <v>171</v>
      </c>
      <c r="B68" s="1" t="s">
        <v>171</v>
      </c>
      <c r="C68" s="1" t="s">
        <v>94</v>
      </c>
      <c r="D68" s="1" t="s">
        <v>112</v>
      </c>
      <c r="E68" s="1" t="s">
        <v>112</v>
      </c>
      <c r="F68" s="5">
        <v>0</v>
      </c>
      <c r="G68" s="5">
        <v>0</v>
      </c>
      <c r="H68" s="5">
        <v>0.03</v>
      </c>
      <c r="I68" s="5">
        <v>-0.03</v>
      </c>
      <c r="J68" s="5">
        <v>27.53</v>
      </c>
      <c r="K68" s="5">
        <v>0</v>
      </c>
    </row>
    <row r="69" spans="1:11">
      <c r="A69" s="1" t="s">
        <v>172</v>
      </c>
      <c r="B69" s="1" t="s">
        <v>172</v>
      </c>
      <c r="C69" s="1" t="s">
        <v>94</v>
      </c>
      <c r="D69" s="1" t="s">
        <v>112</v>
      </c>
      <c r="E69" s="1" t="s">
        <v>112</v>
      </c>
      <c r="F69" s="5">
        <v>0</v>
      </c>
      <c r="G69" s="5">
        <v>0</v>
      </c>
      <c r="H69" s="5">
        <v>0.03</v>
      </c>
      <c r="I69" s="5">
        <v>-0.03</v>
      </c>
      <c r="J69" s="5">
        <v>27.5</v>
      </c>
      <c r="K69" s="5">
        <v>0</v>
      </c>
    </row>
    <row r="70" spans="1:15">
      <c r="A70" s="1" t="str">
        <f>"20200612"</f>
        <v>20200612</v>
      </c>
      <c r="B70" s="1" t="str">
        <f>"20200612"</f>
        <v>20200612</v>
      </c>
      <c r="C70" s="1" t="str">
        <f>"银行转证券"</f>
        <v>银行转证券</v>
      </c>
      <c r="D70" s="6"/>
      <c r="E70" s="6"/>
      <c r="F70" s="1">
        <v>0</v>
      </c>
      <c r="G70" s="1">
        <v>0</v>
      </c>
      <c r="H70" s="1">
        <v>0</v>
      </c>
      <c r="I70" s="1">
        <v>19000</v>
      </c>
      <c r="J70" s="1">
        <v>19027.5</v>
      </c>
      <c r="K70" s="1">
        <v>0</v>
      </c>
      <c r="L70" s="4" t="str">
        <f>"人民币"</f>
        <v>人民币</v>
      </c>
      <c r="M70"/>
      <c r="N70"/>
      <c r="O70" s="4" t="str">
        <f>"300100052893"</f>
        <v>300100052893</v>
      </c>
    </row>
    <row r="71" spans="1:15">
      <c r="A71" s="1" t="str">
        <f>"20200612"</f>
        <v>20200612</v>
      </c>
      <c r="B71" s="1" t="str">
        <f>"20200612"</f>
        <v>20200612</v>
      </c>
      <c r="C71" s="1" t="str">
        <f>"银行转证券"</f>
        <v>银行转证券</v>
      </c>
      <c r="D71" s="6"/>
      <c r="E71" s="6"/>
      <c r="F71" s="1">
        <v>0</v>
      </c>
      <c r="G71" s="1">
        <v>0</v>
      </c>
      <c r="H71" s="1">
        <v>0</v>
      </c>
      <c r="I71" s="1">
        <v>1000</v>
      </c>
      <c r="J71" s="1">
        <v>20027.5</v>
      </c>
      <c r="K71" s="1">
        <v>0</v>
      </c>
      <c r="L71" s="4" t="str">
        <f>"人民币"</f>
        <v>人民币</v>
      </c>
      <c r="N71"/>
      <c r="O71" s="4" t="str">
        <f>"300100052893"</f>
        <v>300100052893</v>
      </c>
    </row>
    <row r="72" spans="1:11">
      <c r="A72" s="1" t="s">
        <v>173</v>
      </c>
      <c r="B72" s="1" t="s">
        <v>173</v>
      </c>
      <c r="C72" s="1" t="s">
        <v>94</v>
      </c>
      <c r="D72" s="1" t="s">
        <v>112</v>
      </c>
      <c r="E72" s="1" t="s">
        <v>112</v>
      </c>
      <c r="F72" s="5">
        <v>0</v>
      </c>
      <c r="G72" s="5">
        <v>0</v>
      </c>
      <c r="H72" s="5">
        <v>0.03</v>
      </c>
      <c r="I72" s="5">
        <v>-0.03</v>
      </c>
      <c r="J72" s="5">
        <v>20027.47</v>
      </c>
      <c r="K72" s="5">
        <v>0</v>
      </c>
    </row>
    <row r="73" spans="1:15">
      <c r="A73" s="1" t="str">
        <f>"20200615"</f>
        <v>20200615</v>
      </c>
      <c r="B73" s="1" t="str">
        <f>"20200615"</f>
        <v>20200615</v>
      </c>
      <c r="C73" s="1" t="str">
        <f>"基金申购拨出"</f>
        <v>基金申购拨出</v>
      </c>
      <c r="D73" s="1" t="str">
        <f>"AA0007"</f>
        <v>AA0007</v>
      </c>
      <c r="E73" s="1" t="str">
        <f>"银河水星1号集合"</f>
        <v>银河水星1号集合</v>
      </c>
      <c r="F73" s="1">
        <v>0</v>
      </c>
      <c r="G73" s="1">
        <v>0</v>
      </c>
      <c r="H73" s="1">
        <v>0</v>
      </c>
      <c r="I73" s="1">
        <v>-1346.33</v>
      </c>
      <c r="J73" s="1">
        <v>18681.14</v>
      </c>
      <c r="K73" s="1">
        <v>0</v>
      </c>
      <c r="L73" s="4" t="str">
        <f>"人民币"</f>
        <v>人民币</v>
      </c>
      <c r="N73" s="4" t="str">
        <f>"980149593788"</f>
        <v>980149593788</v>
      </c>
      <c r="O73" s="4" t="str">
        <f>"300100052893"</f>
        <v>300100052893</v>
      </c>
    </row>
    <row r="74" spans="1:11">
      <c r="A74" s="1" t="s">
        <v>174</v>
      </c>
      <c r="B74" s="1" t="s">
        <v>174</v>
      </c>
      <c r="C74" s="1" t="s">
        <v>94</v>
      </c>
      <c r="D74" s="1" t="s">
        <v>112</v>
      </c>
      <c r="E74" s="1" t="s">
        <v>112</v>
      </c>
      <c r="F74" s="5">
        <v>0</v>
      </c>
      <c r="G74" s="5">
        <v>0</v>
      </c>
      <c r="H74" s="5">
        <v>0.05</v>
      </c>
      <c r="I74" s="5">
        <v>-0.05</v>
      </c>
      <c r="J74" s="5">
        <v>18681.09</v>
      </c>
      <c r="K74" s="5">
        <v>0</v>
      </c>
    </row>
    <row r="75" spans="1:15">
      <c r="A75" s="1" t="str">
        <f>"20200616"</f>
        <v>20200616</v>
      </c>
      <c r="B75" s="1" t="str">
        <f>"20200616"</f>
        <v>20200616</v>
      </c>
      <c r="C75" s="1" t="str">
        <f>"基金赎回拨入"</f>
        <v>基金赎回拨入</v>
      </c>
      <c r="D75" s="1" t="str">
        <f>"AA0007"</f>
        <v>AA0007</v>
      </c>
      <c r="E75" s="1" t="str">
        <f>"银河水星1号集合"</f>
        <v>银河水星1号集合</v>
      </c>
      <c r="F75" s="1">
        <v>0</v>
      </c>
      <c r="G75" s="1">
        <v>0</v>
      </c>
      <c r="H75" s="1">
        <v>0</v>
      </c>
      <c r="I75" s="1">
        <v>0.05</v>
      </c>
      <c r="J75" s="1">
        <v>18681.14</v>
      </c>
      <c r="K75" s="1">
        <v>0</v>
      </c>
      <c r="L75" s="4" t="str">
        <f>"人民币"</f>
        <v>人民币</v>
      </c>
      <c r="N75" s="4" t="str">
        <f>"980149593788"</f>
        <v>980149593788</v>
      </c>
      <c r="O75" s="4" t="str">
        <f>"300100052893"</f>
        <v>300100052893</v>
      </c>
    </row>
    <row r="76" spans="1:11">
      <c r="A76" s="1" t="s">
        <v>175</v>
      </c>
      <c r="B76" s="1" t="s">
        <v>173</v>
      </c>
      <c r="C76" s="1" t="s">
        <v>109</v>
      </c>
      <c r="D76" s="1" t="s">
        <v>204</v>
      </c>
      <c r="E76" s="1" t="s">
        <v>110</v>
      </c>
      <c r="F76" s="5">
        <v>3.11</v>
      </c>
      <c r="G76" s="5">
        <v>6000</v>
      </c>
      <c r="H76" s="5">
        <v>18643.97</v>
      </c>
      <c r="I76" s="5">
        <v>-18676.14</v>
      </c>
      <c r="J76" s="5">
        <v>5</v>
      </c>
      <c r="K76" s="5">
        <v>32000</v>
      </c>
    </row>
    <row r="77" spans="1:11">
      <c r="A77" s="1" t="s">
        <v>175</v>
      </c>
      <c r="B77" s="1" t="s">
        <v>175</v>
      </c>
      <c r="C77" s="1" t="s">
        <v>94</v>
      </c>
      <c r="D77" s="1" t="s">
        <v>112</v>
      </c>
      <c r="E77" s="1" t="s">
        <v>112</v>
      </c>
      <c r="F77" s="5">
        <v>0</v>
      </c>
      <c r="G77" s="5">
        <v>0</v>
      </c>
      <c r="H77" s="5">
        <v>0.02</v>
      </c>
      <c r="I77" s="5">
        <v>-0.02</v>
      </c>
      <c r="J77" s="5">
        <v>4.98</v>
      </c>
      <c r="K77" s="5">
        <v>0</v>
      </c>
    </row>
    <row r="78" spans="1:15">
      <c r="A78" s="1" t="str">
        <f>"20200617"</f>
        <v>20200617</v>
      </c>
      <c r="B78" s="1" t="str">
        <f>"20200617"</f>
        <v>20200617</v>
      </c>
      <c r="C78" s="1" t="str">
        <f>"基金赎回拨入"</f>
        <v>基金赎回拨入</v>
      </c>
      <c r="D78" s="1" t="str">
        <f>"AA0007"</f>
        <v>AA0007</v>
      </c>
      <c r="E78" s="1" t="str">
        <f>"银河水星1号集合"</f>
        <v>银河水星1号集合</v>
      </c>
      <c r="F78" s="1">
        <v>0</v>
      </c>
      <c r="G78" s="1">
        <v>0</v>
      </c>
      <c r="H78" s="1">
        <v>0</v>
      </c>
      <c r="I78" s="1">
        <v>0.02</v>
      </c>
      <c r="J78" s="1">
        <v>5</v>
      </c>
      <c r="K78" s="1">
        <v>0</v>
      </c>
      <c r="L78" s="4" t="str">
        <f>"人民币"</f>
        <v>人民币</v>
      </c>
      <c r="M78"/>
      <c r="N78" s="4" t="str">
        <f>"980149593788"</f>
        <v>980149593788</v>
      </c>
      <c r="O78" s="4" t="str">
        <f>"300100052893"</f>
        <v>300100052893</v>
      </c>
    </row>
    <row r="79" spans="1:11">
      <c r="A79" s="1" t="s">
        <v>176</v>
      </c>
      <c r="B79" s="1" t="s">
        <v>176</v>
      </c>
      <c r="C79" s="1" t="s">
        <v>94</v>
      </c>
      <c r="D79" s="1" t="s">
        <v>112</v>
      </c>
      <c r="E79" s="1" t="s">
        <v>112</v>
      </c>
      <c r="F79" s="5">
        <v>0</v>
      </c>
      <c r="G79" s="5">
        <v>0</v>
      </c>
      <c r="H79" s="5">
        <v>0.03</v>
      </c>
      <c r="I79" s="5">
        <v>-0.03</v>
      </c>
      <c r="J79" s="5">
        <v>4.97</v>
      </c>
      <c r="K79" s="5">
        <v>0</v>
      </c>
    </row>
    <row r="80" spans="1:15">
      <c r="A80" s="1" t="str">
        <f>"20200618"</f>
        <v>20200618</v>
      </c>
      <c r="B80" s="1" t="str">
        <f>"20200618"</f>
        <v>20200618</v>
      </c>
      <c r="C80" s="1" t="str">
        <f>"证券卖出"</f>
        <v>证券卖出</v>
      </c>
      <c r="D80" s="1" t="str">
        <f>"150153"</f>
        <v>150153</v>
      </c>
      <c r="E80" s="1" t="str">
        <f>"创业板B"</f>
        <v>创业板B</v>
      </c>
      <c r="F80" s="1">
        <v>1.831</v>
      </c>
      <c r="G80" s="1">
        <v>4271</v>
      </c>
      <c r="H80" s="1">
        <v>7820.2</v>
      </c>
      <c r="I80" s="1">
        <v>7815.2</v>
      </c>
      <c r="J80" s="1">
        <v>5</v>
      </c>
      <c r="K80" s="1">
        <v>0</v>
      </c>
      <c r="L80" s="4" t="str">
        <f>"人民币"</f>
        <v>人民币</v>
      </c>
      <c r="M80" s="4" t="str">
        <f>"T4008253"</f>
        <v>T4008253</v>
      </c>
      <c r="N80" s="4" t="str">
        <f>"0149593788"</f>
        <v>0149593788</v>
      </c>
      <c r="O80" s="4" t="str">
        <f>"300100052893"</f>
        <v>300100052893</v>
      </c>
    </row>
    <row r="81" spans="1:15">
      <c r="A81" s="1" t="str">
        <f>"20200618"</f>
        <v>20200618</v>
      </c>
      <c r="B81" s="1" t="str">
        <f>"20200618"</f>
        <v>20200618</v>
      </c>
      <c r="C81" s="1" t="str">
        <f>"基金申购拨出"</f>
        <v>基金申购拨出</v>
      </c>
      <c r="D81" s="1" t="str">
        <f>"AA0007"</f>
        <v>AA0007</v>
      </c>
      <c r="E81" s="1" t="str">
        <f>"银河水星1号集合"</f>
        <v>银河水星1号集合</v>
      </c>
      <c r="F81" s="1">
        <v>0</v>
      </c>
      <c r="G81" s="1">
        <v>0</v>
      </c>
      <c r="H81" s="1">
        <v>0</v>
      </c>
      <c r="I81" s="1">
        <v>-9615.17</v>
      </c>
      <c r="J81" s="1">
        <v>-7810.2</v>
      </c>
      <c r="K81" s="1">
        <v>0</v>
      </c>
      <c r="L81" s="4" t="str">
        <f>"人民币"</f>
        <v>人民币</v>
      </c>
      <c r="N81" s="4" t="str">
        <f>"980149593788"</f>
        <v>980149593788</v>
      </c>
      <c r="O81" s="4" t="str">
        <f>"300100052893"</f>
        <v>300100052893</v>
      </c>
    </row>
    <row r="82" spans="1:15">
      <c r="A82" s="1" t="str">
        <f>"20200618"</f>
        <v>20200618</v>
      </c>
      <c r="B82" s="1" t="str">
        <f>"20200618"</f>
        <v>20200618</v>
      </c>
      <c r="C82" s="1" t="str">
        <f>"银行转证券"</f>
        <v>银行转证券</v>
      </c>
      <c r="D82" s="6"/>
      <c r="E82" s="6"/>
      <c r="F82" s="1">
        <v>0</v>
      </c>
      <c r="G82" s="1">
        <v>0</v>
      </c>
      <c r="H82" s="1">
        <v>0</v>
      </c>
      <c r="I82" s="1">
        <v>1800</v>
      </c>
      <c r="J82" s="1">
        <v>1804.97</v>
      </c>
      <c r="K82" s="1">
        <v>0</v>
      </c>
      <c r="L82" s="4" t="str">
        <f>"人民币"</f>
        <v>人民币</v>
      </c>
      <c r="M82"/>
      <c r="N82"/>
      <c r="O82" s="4" t="str">
        <f>"300100052893"</f>
        <v>300100052893</v>
      </c>
    </row>
    <row r="83" spans="1:11">
      <c r="A83" s="1" t="s">
        <v>177</v>
      </c>
      <c r="B83" s="1" t="s">
        <v>177</v>
      </c>
      <c r="C83" s="1" t="s">
        <v>94</v>
      </c>
      <c r="D83" s="1" t="s">
        <v>112</v>
      </c>
      <c r="E83" s="1" t="s">
        <v>112</v>
      </c>
      <c r="F83" s="5">
        <v>0</v>
      </c>
      <c r="G83" s="5">
        <v>0</v>
      </c>
      <c r="H83" s="5">
        <v>0.03</v>
      </c>
      <c r="I83" s="5">
        <v>-0.03</v>
      </c>
      <c r="J83" s="5">
        <v>4.97</v>
      </c>
      <c r="K83" s="5">
        <v>0</v>
      </c>
    </row>
    <row r="84" spans="1:15">
      <c r="A84" s="1" t="str">
        <f>"20200619"</f>
        <v>20200619</v>
      </c>
      <c r="B84" s="1" t="str">
        <f>"20200619"</f>
        <v>20200619</v>
      </c>
      <c r="C84" s="1" t="str">
        <f>"证券买入"</f>
        <v>证券买入</v>
      </c>
      <c r="D84" s="1" t="str">
        <f>"150182"</f>
        <v>150182</v>
      </c>
      <c r="E84" s="1" t="str">
        <f>"军工B"</f>
        <v>军工B</v>
      </c>
      <c r="F84" s="1">
        <v>1.364</v>
      </c>
      <c r="G84" s="1">
        <v>4000</v>
      </c>
      <c r="H84" s="1">
        <v>5456</v>
      </c>
      <c r="I84" s="1">
        <v>-5461</v>
      </c>
      <c r="J84" s="1">
        <v>7.09</v>
      </c>
      <c r="K84" s="1">
        <v>7246</v>
      </c>
      <c r="L84" s="4" t="str">
        <f>"人民币"</f>
        <v>人民币</v>
      </c>
      <c r="M84" s="4" t="str">
        <f>"T4004684"</f>
        <v>T4004684</v>
      </c>
      <c r="N84" s="4" t="str">
        <f>"0149593788"</f>
        <v>0149593788</v>
      </c>
      <c r="O84" s="4" t="str">
        <f>"300100052893"</f>
        <v>300100052893</v>
      </c>
    </row>
    <row r="85" spans="1:15">
      <c r="A85" s="1" t="str">
        <f>"20200619"</f>
        <v>20200619</v>
      </c>
      <c r="B85" s="1" t="str">
        <f>"20200619"</f>
        <v>20200619</v>
      </c>
      <c r="C85" s="1" t="str">
        <f>"基金赎回拨入"</f>
        <v>基金赎回拨入</v>
      </c>
      <c r="D85" s="1" t="str">
        <f>"AA0007"</f>
        <v>AA0007</v>
      </c>
      <c r="E85" s="1" t="str">
        <f>"银河水星1号集合"</f>
        <v>银河水星1号集合</v>
      </c>
      <c r="F85" s="1">
        <v>0</v>
      </c>
      <c r="G85" s="1">
        <v>5461</v>
      </c>
      <c r="H85" s="1">
        <v>0</v>
      </c>
      <c r="I85" s="1">
        <v>5461.03</v>
      </c>
      <c r="J85" s="1">
        <v>5468.09</v>
      </c>
      <c r="K85" s="1">
        <v>0</v>
      </c>
      <c r="L85" s="4" t="str">
        <f>"人民币"</f>
        <v>人民币</v>
      </c>
      <c r="N85" s="4" t="str">
        <f>"980149593788"</f>
        <v>980149593788</v>
      </c>
      <c r="O85" s="4" t="str">
        <f>"300100052893"</f>
        <v>300100052893</v>
      </c>
    </row>
    <row r="86" spans="1:15">
      <c r="A86" s="1" t="str">
        <f>"20200619"</f>
        <v>20200619</v>
      </c>
      <c r="B86" s="1" t="str">
        <f>"20200619"</f>
        <v>20200619</v>
      </c>
      <c r="C86" s="1" t="str">
        <f>"利息归本"</f>
        <v>利息归本</v>
      </c>
      <c r="D86" s="6"/>
      <c r="E86" s="6"/>
      <c r="F86" s="1">
        <v>0</v>
      </c>
      <c r="G86" s="1">
        <v>0</v>
      </c>
      <c r="H86" s="1">
        <v>0</v>
      </c>
      <c r="I86" s="1">
        <v>2.09</v>
      </c>
      <c r="J86" s="1">
        <v>7.06</v>
      </c>
      <c r="K86" s="1">
        <v>0</v>
      </c>
      <c r="L86" s="4" t="str">
        <f>"人民币"</f>
        <v>人民币</v>
      </c>
      <c r="N86"/>
      <c r="O86" s="4" t="str">
        <f>"300100052893"</f>
        <v>300100052893</v>
      </c>
    </row>
    <row r="87" spans="1:11">
      <c r="A87" s="1" t="s">
        <v>178</v>
      </c>
      <c r="B87" s="1" t="s">
        <v>178</v>
      </c>
      <c r="C87" s="1" t="s">
        <v>94</v>
      </c>
      <c r="D87" s="1" t="s">
        <v>112</v>
      </c>
      <c r="E87" s="1" t="s">
        <v>112</v>
      </c>
      <c r="F87" s="5">
        <v>0</v>
      </c>
      <c r="G87" s="5">
        <v>0</v>
      </c>
      <c r="H87" s="5">
        <v>0.03</v>
      </c>
      <c r="I87" s="5">
        <v>-0.03</v>
      </c>
      <c r="J87" s="5">
        <v>7.06</v>
      </c>
      <c r="K87" s="5">
        <v>0</v>
      </c>
    </row>
    <row r="88" spans="1:15">
      <c r="A88" s="1" t="str">
        <f>"20200622"</f>
        <v>20200622</v>
      </c>
      <c r="B88" s="1" t="str">
        <f>"20200622"</f>
        <v>20200622</v>
      </c>
      <c r="C88" s="1" t="str">
        <f>"证券卖出"</f>
        <v>证券卖出</v>
      </c>
      <c r="D88" s="1" t="str">
        <f>"150182"</f>
        <v>150182</v>
      </c>
      <c r="E88" s="1" t="str">
        <f>"军工B"</f>
        <v>军工B</v>
      </c>
      <c r="F88" s="1">
        <v>1.391</v>
      </c>
      <c r="G88" s="1">
        <v>4000</v>
      </c>
      <c r="H88" s="1">
        <v>5564</v>
      </c>
      <c r="I88" s="1">
        <v>5559</v>
      </c>
      <c r="J88" s="1">
        <v>5</v>
      </c>
      <c r="K88" s="1">
        <v>3246</v>
      </c>
      <c r="L88" s="4" t="str">
        <f>"人民币"</f>
        <v>人民币</v>
      </c>
      <c r="M88" s="4" t="str">
        <f>"T4008680"</f>
        <v>T4008680</v>
      </c>
      <c r="N88" s="4" t="str">
        <f>"0149593788"</f>
        <v>0149593788</v>
      </c>
      <c r="O88" s="4" t="str">
        <f>"300100052893"</f>
        <v>300100052893</v>
      </c>
    </row>
    <row r="89" spans="1:15">
      <c r="A89" s="1" t="str">
        <f>"20200622"</f>
        <v>20200622</v>
      </c>
      <c r="B89" s="1" t="str">
        <f>"20200622"</f>
        <v>20200622</v>
      </c>
      <c r="C89" s="1" t="str">
        <f>"证券卖出"</f>
        <v>证券卖出</v>
      </c>
      <c r="D89" s="1" t="str">
        <f>"502012"</f>
        <v>502012</v>
      </c>
      <c r="E89" s="1" t="str">
        <f>"证券B"</f>
        <v>证券B</v>
      </c>
      <c r="F89" s="1">
        <v>1.18</v>
      </c>
      <c r="G89" s="1">
        <v>5700</v>
      </c>
      <c r="H89" s="1">
        <v>6726</v>
      </c>
      <c r="I89" s="1">
        <v>6721</v>
      </c>
      <c r="J89" s="1">
        <v>-5554</v>
      </c>
      <c r="K89" s="1">
        <v>0</v>
      </c>
      <c r="L89" s="4" t="str">
        <f>"人民币"</f>
        <v>人民币</v>
      </c>
      <c r="M89" s="4" t="str">
        <f>"0136003922"</f>
        <v>0136003922</v>
      </c>
      <c r="N89" s="4" t="str">
        <f>"A368402599"</f>
        <v>A368402599</v>
      </c>
      <c r="O89" s="4" t="str">
        <f>"300100052893"</f>
        <v>300100052893</v>
      </c>
    </row>
    <row r="90" spans="1:15">
      <c r="A90" s="1" t="str">
        <f>"20200622"</f>
        <v>20200622</v>
      </c>
      <c r="B90" s="1" t="str">
        <f>"20200622"</f>
        <v>20200622</v>
      </c>
      <c r="C90" s="1" t="str">
        <f>"基金申购拨出"</f>
        <v>基金申购拨出</v>
      </c>
      <c r="D90" s="1" t="str">
        <f>"AA0007"</f>
        <v>AA0007</v>
      </c>
      <c r="E90" s="1" t="str">
        <f>"银河水星1号集合"</f>
        <v>银河水星1号集合</v>
      </c>
      <c r="F90" s="1">
        <v>0</v>
      </c>
      <c r="G90" s="1">
        <v>0</v>
      </c>
      <c r="H90" s="1">
        <v>0</v>
      </c>
      <c r="I90" s="1">
        <v>-12282.06</v>
      </c>
      <c r="J90" s="1">
        <v>-12275</v>
      </c>
      <c r="K90" s="1">
        <v>0</v>
      </c>
      <c r="L90" s="4" t="str">
        <f>"人民币"</f>
        <v>人民币</v>
      </c>
      <c r="M90"/>
      <c r="N90" s="4" t="str">
        <f>"980149593788"</f>
        <v>980149593788</v>
      </c>
      <c r="O90" s="4" t="str">
        <f>"300100052893"</f>
        <v>300100052893</v>
      </c>
    </row>
    <row r="91" spans="1:11">
      <c r="A91" s="1" t="s">
        <v>179</v>
      </c>
      <c r="B91" s="1" t="s">
        <v>179</v>
      </c>
      <c r="C91" s="1" t="s">
        <v>94</v>
      </c>
      <c r="D91" s="1" t="s">
        <v>112</v>
      </c>
      <c r="E91" s="1" t="s">
        <v>112</v>
      </c>
      <c r="F91" s="5">
        <v>0</v>
      </c>
      <c r="G91" s="5">
        <v>0</v>
      </c>
      <c r="H91" s="5">
        <v>0.08</v>
      </c>
      <c r="I91" s="5">
        <v>-0.08</v>
      </c>
      <c r="J91" s="5">
        <v>4.92</v>
      </c>
      <c r="K91" s="5">
        <v>0</v>
      </c>
    </row>
    <row r="92" spans="1:15">
      <c r="A92" s="1" t="str">
        <f>"20200623"</f>
        <v>20200623</v>
      </c>
      <c r="B92" s="1" t="str">
        <f>"20200623"</f>
        <v>20200623</v>
      </c>
      <c r="C92" s="1" t="str">
        <f>"基金赎回拨入"</f>
        <v>基金赎回拨入</v>
      </c>
      <c r="D92" s="1" t="str">
        <f>"AA0007"</f>
        <v>AA0007</v>
      </c>
      <c r="E92" s="1" t="str">
        <f>"银河水星1号集合"</f>
        <v>银河水星1号集合</v>
      </c>
      <c r="F92" s="1">
        <v>0</v>
      </c>
      <c r="G92" s="1">
        <v>0</v>
      </c>
      <c r="H92" s="1">
        <v>0</v>
      </c>
      <c r="I92" s="1">
        <v>0.08</v>
      </c>
      <c r="J92" s="1">
        <v>5</v>
      </c>
      <c r="K92" s="1">
        <v>0</v>
      </c>
      <c r="L92" s="4" t="str">
        <f>"人民币"</f>
        <v>人民币</v>
      </c>
      <c r="M92"/>
      <c r="N92" s="4" t="str">
        <f>"980149593788"</f>
        <v>980149593788</v>
      </c>
      <c r="O92" s="4" t="str">
        <f>"300100052893"</f>
        <v>300100052893</v>
      </c>
    </row>
    <row r="93" spans="1:15">
      <c r="A93" s="1" t="str">
        <f>"20200623"</f>
        <v>20200623</v>
      </c>
      <c r="B93" s="1" t="str">
        <f>"0"</f>
        <v>0</v>
      </c>
      <c r="C93" s="1" t="str">
        <f>"基金红利拨入"</f>
        <v>基金红利拨入</v>
      </c>
      <c r="D93" s="1" t="str">
        <f>"AA0007"</f>
        <v>AA0007</v>
      </c>
      <c r="E93" s="1" t="str">
        <f>"银河水星1号集合"</f>
        <v>银河水星1号集合</v>
      </c>
      <c r="F93" s="1">
        <v>0</v>
      </c>
      <c r="G93" s="1">
        <v>0</v>
      </c>
      <c r="H93" s="1">
        <v>4.13</v>
      </c>
      <c r="I93" s="1">
        <v>4.13</v>
      </c>
      <c r="J93" s="1">
        <v>9.13</v>
      </c>
      <c r="K93" s="1">
        <v>0</v>
      </c>
      <c r="L93" s="4" t="str">
        <f>"人民币"</f>
        <v>人民币</v>
      </c>
      <c r="N93" s="4" t="str">
        <f>"980149593788"</f>
        <v>980149593788</v>
      </c>
      <c r="O93" s="4" t="str">
        <f>"300100052893"</f>
        <v>300100052893</v>
      </c>
    </row>
    <row r="94" spans="1:11">
      <c r="A94" s="1" t="s">
        <v>180</v>
      </c>
      <c r="B94" s="1" t="s">
        <v>180</v>
      </c>
      <c r="C94" s="1" t="s">
        <v>181</v>
      </c>
      <c r="D94" s="1" t="s">
        <v>204</v>
      </c>
      <c r="E94" s="1" t="s">
        <v>110</v>
      </c>
      <c r="F94" s="5">
        <v>0.15</v>
      </c>
      <c r="G94" s="5">
        <v>26000</v>
      </c>
      <c r="H94" s="5">
        <v>3952</v>
      </c>
      <c r="I94" s="5">
        <v>3952</v>
      </c>
      <c r="J94" s="5">
        <v>3961.13</v>
      </c>
      <c r="K94" s="5">
        <v>32000</v>
      </c>
    </row>
    <row r="95" spans="1:11">
      <c r="A95" s="1" t="s">
        <v>180</v>
      </c>
      <c r="B95" s="1" t="s">
        <v>180</v>
      </c>
      <c r="C95" s="1" t="s">
        <v>94</v>
      </c>
      <c r="D95" s="1" t="s">
        <v>112</v>
      </c>
      <c r="E95" s="1" t="s">
        <v>112</v>
      </c>
      <c r="F95" s="5">
        <v>0</v>
      </c>
      <c r="G95" s="5">
        <v>0</v>
      </c>
      <c r="H95" s="5">
        <v>0.03</v>
      </c>
      <c r="I95" s="5">
        <v>-0.03</v>
      </c>
      <c r="J95" s="5">
        <v>3961.1</v>
      </c>
      <c r="K95" s="5">
        <v>0</v>
      </c>
    </row>
    <row r="96" spans="1:15">
      <c r="A96" s="1" t="str">
        <f>"20200624"</f>
        <v>20200624</v>
      </c>
      <c r="B96" s="1" t="str">
        <f>"20200624"</f>
        <v>20200624</v>
      </c>
      <c r="C96" s="1" t="str">
        <f>"基金申购拨出"</f>
        <v>基金申购拨出</v>
      </c>
      <c r="D96" s="1" t="str">
        <f>"AA0007"</f>
        <v>AA0007</v>
      </c>
      <c r="E96" s="1" t="str">
        <f>"银河水星1号集合"</f>
        <v>银河水星1号集合</v>
      </c>
      <c r="F96" s="1">
        <v>0</v>
      </c>
      <c r="G96" s="1">
        <v>0</v>
      </c>
      <c r="H96" s="1">
        <v>0</v>
      </c>
      <c r="I96" s="1">
        <v>-3956.1</v>
      </c>
      <c r="J96" s="1">
        <v>5</v>
      </c>
      <c r="K96" s="1">
        <v>0</v>
      </c>
      <c r="L96" s="4" t="str">
        <f>"人民币"</f>
        <v>人民币</v>
      </c>
      <c r="N96" s="4" t="str">
        <f>"980149593788"</f>
        <v>980149593788</v>
      </c>
      <c r="O96" s="4" t="str">
        <f>"300100052893"</f>
        <v>300100052893</v>
      </c>
    </row>
    <row r="97" spans="1:11">
      <c r="A97" s="1" t="s">
        <v>182</v>
      </c>
      <c r="B97" s="1" t="s">
        <v>182</v>
      </c>
      <c r="C97" s="1" t="s">
        <v>94</v>
      </c>
      <c r="D97" s="1" t="s">
        <v>112</v>
      </c>
      <c r="E97" s="1" t="s">
        <v>112</v>
      </c>
      <c r="F97" s="5">
        <v>0</v>
      </c>
      <c r="G97" s="5">
        <v>0</v>
      </c>
      <c r="H97" s="5">
        <v>0.03</v>
      </c>
      <c r="I97" s="5">
        <v>-0.03</v>
      </c>
      <c r="J97" s="5">
        <v>4.97</v>
      </c>
      <c r="K97" s="5">
        <v>0</v>
      </c>
    </row>
    <row r="98" spans="1:15">
      <c r="A98" s="1" t="str">
        <f>"20200629"</f>
        <v>20200629</v>
      </c>
      <c r="B98" s="1" t="str">
        <f>"20200629"</f>
        <v>20200629</v>
      </c>
      <c r="C98" s="1" t="str">
        <f>"基金赎回拨入"</f>
        <v>基金赎回拨入</v>
      </c>
      <c r="D98" s="1" t="str">
        <f>"AA0007"</f>
        <v>AA0007</v>
      </c>
      <c r="E98" s="1" t="str">
        <f>"银河水星1号集合"</f>
        <v>银河水星1号集合</v>
      </c>
      <c r="F98" s="1">
        <v>0</v>
      </c>
      <c r="G98" s="1">
        <v>18283</v>
      </c>
      <c r="H98" s="1">
        <v>0</v>
      </c>
      <c r="I98" s="1">
        <v>18283.83</v>
      </c>
      <c r="J98" s="1">
        <v>18288.8</v>
      </c>
      <c r="K98" s="1">
        <v>0</v>
      </c>
      <c r="L98" s="4" t="str">
        <f>"人民币"</f>
        <v>人民币</v>
      </c>
      <c r="N98" s="4" t="str">
        <f>"980149593788"</f>
        <v>980149593788</v>
      </c>
      <c r="O98" s="4" t="str">
        <f>"300100052893"</f>
        <v>300100052893</v>
      </c>
    </row>
    <row r="99" spans="1:11">
      <c r="A99" s="4" t="s">
        <v>183</v>
      </c>
      <c r="B99" s="4" t="s">
        <v>183</v>
      </c>
      <c r="C99" s="4" t="s">
        <v>94</v>
      </c>
      <c r="D99" s="4" t="s">
        <v>112</v>
      </c>
      <c r="E99" s="4" t="s">
        <v>112</v>
      </c>
      <c r="F99" s="7">
        <v>0</v>
      </c>
      <c r="G99" s="7">
        <v>0</v>
      </c>
      <c r="H99" s="7">
        <v>0.14</v>
      </c>
      <c r="I99" s="7">
        <v>-0.14</v>
      </c>
      <c r="J99" s="7">
        <v>18288.66</v>
      </c>
      <c r="K99" s="7">
        <v>0</v>
      </c>
    </row>
    <row r="100" spans="1:11">
      <c r="A100" s="4" t="s">
        <v>184</v>
      </c>
      <c r="B100" s="4" t="s">
        <v>184</v>
      </c>
      <c r="C100" s="4" t="s">
        <v>94</v>
      </c>
      <c r="D100" s="4" t="s">
        <v>112</v>
      </c>
      <c r="E100" s="4" t="s">
        <v>112</v>
      </c>
      <c r="F100" s="7">
        <v>0</v>
      </c>
      <c r="G100" s="7">
        <v>0</v>
      </c>
      <c r="H100" s="7">
        <v>0.03</v>
      </c>
      <c r="I100" s="7">
        <v>-0.03</v>
      </c>
      <c r="J100" s="7">
        <v>18288.63</v>
      </c>
      <c r="K100" s="7">
        <v>0</v>
      </c>
    </row>
  </sheetData>
  <sortState ref="A2:O100">
    <sortCondition ref="A2"/>
  </sortState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9"/>
  <sheetViews>
    <sheetView topLeftCell="E1" workbookViewId="0">
      <selection activeCell="K21" sqref="K21"/>
    </sheetView>
  </sheetViews>
  <sheetFormatPr defaultColWidth="9" defaultRowHeight="13.5"/>
  <cols>
    <col min="1" max="16384" width="9" style="4"/>
  </cols>
  <sheetData>
    <row r="1" spans="1:28">
      <c r="A1" s="4" t="s">
        <v>254</v>
      </c>
      <c r="B1" s="4" t="s">
        <v>255</v>
      </c>
      <c r="C1" s="4" t="s">
        <v>256</v>
      </c>
      <c r="D1" s="4" t="s">
        <v>257</v>
      </c>
      <c r="E1" s="4" t="s">
        <v>258</v>
      </c>
      <c r="F1" s="4" t="s">
        <v>259</v>
      </c>
      <c r="G1" s="4" t="s">
        <v>260</v>
      </c>
      <c r="H1" s="4" t="s">
        <v>261</v>
      </c>
      <c r="I1" s="4" t="s">
        <v>262</v>
      </c>
      <c r="J1" s="4" t="s">
        <v>263</v>
      </c>
      <c r="K1" s="4" t="s">
        <v>264</v>
      </c>
      <c r="L1" s="4" t="s">
        <v>265</v>
      </c>
      <c r="M1" s="4" t="s">
        <v>266</v>
      </c>
      <c r="N1" s="4" t="s">
        <v>267</v>
      </c>
      <c r="O1" s="4" t="s">
        <v>268</v>
      </c>
      <c r="P1" s="4" t="s">
        <v>269</v>
      </c>
      <c r="Q1" s="4" t="s">
        <v>270</v>
      </c>
      <c r="R1" s="4" t="s">
        <v>271</v>
      </c>
      <c r="S1" s="4" t="s">
        <v>272</v>
      </c>
      <c r="T1" s="4" t="s">
        <v>273</v>
      </c>
      <c r="U1" s="4" t="s">
        <v>274</v>
      </c>
      <c r="V1" s="4" t="s">
        <v>275</v>
      </c>
      <c r="W1" s="4" t="s">
        <v>276</v>
      </c>
      <c r="X1" s="4" t="s">
        <v>277</v>
      </c>
      <c r="Y1" s="4" t="s">
        <v>278</v>
      </c>
      <c r="Z1" s="4" t="s">
        <v>279</v>
      </c>
      <c r="AA1" s="4" t="s">
        <v>280</v>
      </c>
      <c r="AB1" s="4" t="s">
        <v>281</v>
      </c>
    </row>
    <row r="2" spans="1:28">
      <c r="A2" s="4" t="s">
        <v>128</v>
      </c>
      <c r="B2" s="4" t="s">
        <v>128</v>
      </c>
      <c r="C2" s="4" t="s">
        <v>211</v>
      </c>
      <c r="D2" s="4" t="s">
        <v>296</v>
      </c>
      <c r="E2" s="4" t="s">
        <v>94</v>
      </c>
      <c r="F2" s="4" t="s">
        <v>112</v>
      </c>
      <c r="G2" s="4" t="s">
        <v>112</v>
      </c>
      <c r="H2" s="4" t="s">
        <v>210</v>
      </c>
      <c r="I2" s="4" t="s">
        <v>211</v>
      </c>
      <c r="J2" s="4" t="s">
        <v>225</v>
      </c>
      <c r="K2" s="4" t="s">
        <v>226</v>
      </c>
      <c r="L2" s="4" t="s">
        <v>210</v>
      </c>
      <c r="M2" s="4" t="s">
        <v>297</v>
      </c>
      <c r="N2" s="4" t="s">
        <v>331</v>
      </c>
      <c r="O2" s="4" t="s">
        <v>211</v>
      </c>
      <c r="P2" s="4" t="s">
        <v>210</v>
      </c>
      <c r="Q2" s="4" t="s">
        <v>210</v>
      </c>
      <c r="R2" s="4" t="s">
        <v>210</v>
      </c>
      <c r="S2" s="4" t="s">
        <v>210</v>
      </c>
      <c r="T2" s="4" t="s">
        <v>210</v>
      </c>
      <c r="U2" s="4" t="s">
        <v>210</v>
      </c>
      <c r="V2" s="4" t="s">
        <v>210</v>
      </c>
      <c r="W2" s="4" t="s">
        <v>210</v>
      </c>
      <c r="X2" s="4" t="s">
        <v>298</v>
      </c>
      <c r="Y2" s="4" t="s">
        <v>211</v>
      </c>
      <c r="Z2" s="4" t="s">
        <v>211</v>
      </c>
      <c r="AA2" s="4" t="s">
        <v>294</v>
      </c>
      <c r="AB2" s="4" t="s">
        <v>295</v>
      </c>
    </row>
    <row r="3" spans="1:28">
      <c r="A3" s="4" t="s">
        <v>129</v>
      </c>
      <c r="B3" s="4" t="s">
        <v>129</v>
      </c>
      <c r="C3" s="4" t="s">
        <v>211</v>
      </c>
      <c r="D3" s="4" t="s">
        <v>296</v>
      </c>
      <c r="E3" s="4" t="s">
        <v>94</v>
      </c>
      <c r="F3" s="4" t="s">
        <v>112</v>
      </c>
      <c r="G3" s="4" t="s">
        <v>112</v>
      </c>
      <c r="H3" s="4" t="s">
        <v>210</v>
      </c>
      <c r="I3" s="4" t="s">
        <v>211</v>
      </c>
      <c r="J3" s="4" t="s">
        <v>225</v>
      </c>
      <c r="K3" s="4" t="s">
        <v>226</v>
      </c>
      <c r="L3" s="4" t="s">
        <v>210</v>
      </c>
      <c r="M3" s="4" t="s">
        <v>297</v>
      </c>
      <c r="N3" s="4" t="s">
        <v>332</v>
      </c>
      <c r="O3" s="4" t="s">
        <v>211</v>
      </c>
      <c r="P3" s="4" t="s">
        <v>210</v>
      </c>
      <c r="Q3" s="4" t="s">
        <v>210</v>
      </c>
      <c r="R3" s="4" t="s">
        <v>210</v>
      </c>
      <c r="S3" s="4" t="s">
        <v>210</v>
      </c>
      <c r="T3" s="4" t="s">
        <v>210</v>
      </c>
      <c r="U3" s="4" t="s">
        <v>210</v>
      </c>
      <c r="V3" s="4" t="s">
        <v>210</v>
      </c>
      <c r="W3" s="4" t="s">
        <v>210</v>
      </c>
      <c r="X3" s="4" t="s">
        <v>298</v>
      </c>
      <c r="Y3" s="4" t="s">
        <v>211</v>
      </c>
      <c r="Z3" s="4" t="s">
        <v>211</v>
      </c>
      <c r="AA3" s="4" t="s">
        <v>294</v>
      </c>
      <c r="AB3" s="4" t="s">
        <v>295</v>
      </c>
    </row>
    <row r="4" spans="1:28">
      <c r="A4" s="4" t="s">
        <v>130</v>
      </c>
      <c r="B4" s="4" t="s">
        <v>130</v>
      </c>
      <c r="C4" s="4" t="s">
        <v>211</v>
      </c>
      <c r="D4" s="4" t="s">
        <v>296</v>
      </c>
      <c r="E4" s="4" t="s">
        <v>94</v>
      </c>
      <c r="F4" s="4" t="s">
        <v>112</v>
      </c>
      <c r="G4" s="4" t="s">
        <v>112</v>
      </c>
      <c r="H4" s="4" t="s">
        <v>210</v>
      </c>
      <c r="I4" s="4" t="s">
        <v>211</v>
      </c>
      <c r="J4" s="4" t="s">
        <v>225</v>
      </c>
      <c r="K4" s="4" t="s">
        <v>226</v>
      </c>
      <c r="L4" s="4" t="s">
        <v>210</v>
      </c>
      <c r="M4" s="4" t="s">
        <v>297</v>
      </c>
      <c r="N4" s="4" t="s">
        <v>333</v>
      </c>
      <c r="O4" s="4" t="s">
        <v>211</v>
      </c>
      <c r="P4" s="4" t="s">
        <v>210</v>
      </c>
      <c r="Q4" s="4" t="s">
        <v>210</v>
      </c>
      <c r="R4" s="4" t="s">
        <v>210</v>
      </c>
      <c r="S4" s="4" t="s">
        <v>210</v>
      </c>
      <c r="T4" s="4" t="s">
        <v>210</v>
      </c>
      <c r="U4" s="4" t="s">
        <v>210</v>
      </c>
      <c r="V4" s="4" t="s">
        <v>210</v>
      </c>
      <c r="W4" s="4" t="s">
        <v>210</v>
      </c>
      <c r="X4" s="4" t="s">
        <v>298</v>
      </c>
      <c r="Y4" s="4" t="s">
        <v>211</v>
      </c>
      <c r="Z4" s="4" t="s">
        <v>211</v>
      </c>
      <c r="AA4" s="4" t="s">
        <v>294</v>
      </c>
      <c r="AB4" s="4" t="s">
        <v>295</v>
      </c>
    </row>
    <row r="5" spans="1:28">
      <c r="A5" s="4" t="s">
        <v>131</v>
      </c>
      <c r="B5" s="4" t="s">
        <v>131</v>
      </c>
      <c r="C5" s="4" t="s">
        <v>211</v>
      </c>
      <c r="D5" s="4" t="s">
        <v>296</v>
      </c>
      <c r="E5" s="4" t="s">
        <v>94</v>
      </c>
      <c r="F5" s="4" t="s">
        <v>112</v>
      </c>
      <c r="G5" s="4" t="s">
        <v>112</v>
      </c>
      <c r="H5" s="4" t="s">
        <v>210</v>
      </c>
      <c r="I5" s="4" t="s">
        <v>211</v>
      </c>
      <c r="J5" s="4" t="s">
        <v>334</v>
      </c>
      <c r="K5" s="4" t="s">
        <v>335</v>
      </c>
      <c r="L5" s="4" t="s">
        <v>210</v>
      </c>
      <c r="M5" s="4" t="s">
        <v>297</v>
      </c>
      <c r="N5" s="4" t="s">
        <v>336</v>
      </c>
      <c r="O5" s="4" t="s">
        <v>211</v>
      </c>
      <c r="P5" s="4" t="s">
        <v>210</v>
      </c>
      <c r="Q5" s="4" t="s">
        <v>210</v>
      </c>
      <c r="R5" s="4" t="s">
        <v>210</v>
      </c>
      <c r="S5" s="4" t="s">
        <v>210</v>
      </c>
      <c r="T5" s="4" t="s">
        <v>210</v>
      </c>
      <c r="U5" s="4" t="s">
        <v>210</v>
      </c>
      <c r="V5" s="4" t="s">
        <v>210</v>
      </c>
      <c r="W5" s="4" t="s">
        <v>210</v>
      </c>
      <c r="X5" s="4" t="s">
        <v>298</v>
      </c>
      <c r="Y5" s="4" t="s">
        <v>211</v>
      </c>
      <c r="Z5" s="4" t="s">
        <v>211</v>
      </c>
      <c r="AA5" s="4" t="s">
        <v>294</v>
      </c>
      <c r="AB5" s="4" t="s">
        <v>295</v>
      </c>
    </row>
    <row r="6" spans="1:28">
      <c r="A6" s="4" t="s">
        <v>132</v>
      </c>
      <c r="B6" s="4" t="s">
        <v>132</v>
      </c>
      <c r="C6" s="4" t="s">
        <v>211</v>
      </c>
      <c r="D6" s="4" t="s">
        <v>296</v>
      </c>
      <c r="E6" s="4" t="s">
        <v>94</v>
      </c>
      <c r="F6" s="4" t="s">
        <v>112</v>
      </c>
      <c r="G6" s="4" t="s">
        <v>112</v>
      </c>
      <c r="H6" s="4" t="s">
        <v>210</v>
      </c>
      <c r="I6" s="4" t="s">
        <v>211</v>
      </c>
      <c r="J6" s="4" t="s">
        <v>225</v>
      </c>
      <c r="K6" s="4" t="s">
        <v>226</v>
      </c>
      <c r="L6" s="4" t="s">
        <v>210</v>
      </c>
      <c r="M6" s="4" t="s">
        <v>297</v>
      </c>
      <c r="N6" s="4" t="s">
        <v>337</v>
      </c>
      <c r="O6" s="4" t="s">
        <v>211</v>
      </c>
      <c r="P6" s="4" t="s">
        <v>210</v>
      </c>
      <c r="Q6" s="4" t="s">
        <v>210</v>
      </c>
      <c r="R6" s="4" t="s">
        <v>210</v>
      </c>
      <c r="S6" s="4" t="s">
        <v>210</v>
      </c>
      <c r="T6" s="4" t="s">
        <v>210</v>
      </c>
      <c r="U6" s="4" t="s">
        <v>210</v>
      </c>
      <c r="V6" s="4" t="s">
        <v>210</v>
      </c>
      <c r="W6" s="4" t="s">
        <v>210</v>
      </c>
      <c r="X6" s="4" t="s">
        <v>298</v>
      </c>
      <c r="Y6" s="4" t="s">
        <v>211</v>
      </c>
      <c r="Z6" s="4" t="s">
        <v>211</v>
      </c>
      <c r="AA6" s="4" t="s">
        <v>294</v>
      </c>
      <c r="AB6" s="4" t="s">
        <v>295</v>
      </c>
    </row>
    <row r="7" spans="1:28">
      <c r="A7" s="4" t="s">
        <v>133</v>
      </c>
      <c r="B7" s="4" t="s">
        <v>133</v>
      </c>
      <c r="C7" s="4" t="s">
        <v>211</v>
      </c>
      <c r="D7" s="4" t="s">
        <v>296</v>
      </c>
      <c r="E7" s="4" t="s">
        <v>94</v>
      </c>
      <c r="F7" s="4" t="s">
        <v>112</v>
      </c>
      <c r="G7" s="4" t="s">
        <v>112</v>
      </c>
      <c r="H7" s="4" t="s">
        <v>210</v>
      </c>
      <c r="I7" s="4" t="s">
        <v>211</v>
      </c>
      <c r="J7" s="4" t="s">
        <v>225</v>
      </c>
      <c r="K7" s="4" t="s">
        <v>226</v>
      </c>
      <c r="L7" s="4" t="s">
        <v>210</v>
      </c>
      <c r="M7" s="4" t="s">
        <v>297</v>
      </c>
      <c r="N7" s="4" t="s">
        <v>338</v>
      </c>
      <c r="O7" s="4" t="s">
        <v>211</v>
      </c>
      <c r="P7" s="4" t="s">
        <v>210</v>
      </c>
      <c r="Q7" s="4" t="s">
        <v>210</v>
      </c>
      <c r="R7" s="4" t="s">
        <v>210</v>
      </c>
      <c r="S7" s="4" t="s">
        <v>210</v>
      </c>
      <c r="T7" s="4" t="s">
        <v>210</v>
      </c>
      <c r="U7" s="4" t="s">
        <v>210</v>
      </c>
      <c r="V7" s="4" t="s">
        <v>210</v>
      </c>
      <c r="W7" s="4" t="s">
        <v>210</v>
      </c>
      <c r="X7" s="4" t="s">
        <v>298</v>
      </c>
      <c r="Y7" s="4" t="s">
        <v>211</v>
      </c>
      <c r="Z7" s="4" t="s">
        <v>211</v>
      </c>
      <c r="AA7" s="4" t="s">
        <v>294</v>
      </c>
      <c r="AB7" s="4" t="s">
        <v>295</v>
      </c>
    </row>
    <row r="8" spans="1:28">
      <c r="A8" s="4" t="s">
        <v>134</v>
      </c>
      <c r="B8" s="4" t="s">
        <v>134</v>
      </c>
      <c r="C8" s="4" t="s">
        <v>211</v>
      </c>
      <c r="D8" s="4" t="s">
        <v>296</v>
      </c>
      <c r="E8" s="4" t="s">
        <v>94</v>
      </c>
      <c r="F8" s="4" t="s">
        <v>112</v>
      </c>
      <c r="G8" s="4" t="s">
        <v>112</v>
      </c>
      <c r="H8" s="4" t="s">
        <v>210</v>
      </c>
      <c r="I8" s="4" t="s">
        <v>211</v>
      </c>
      <c r="J8" s="4" t="s">
        <v>339</v>
      </c>
      <c r="K8" s="4" t="s">
        <v>340</v>
      </c>
      <c r="L8" s="4" t="s">
        <v>210</v>
      </c>
      <c r="M8" s="4" t="s">
        <v>297</v>
      </c>
      <c r="N8" s="4" t="s">
        <v>341</v>
      </c>
      <c r="O8" s="4" t="s">
        <v>211</v>
      </c>
      <c r="P8" s="4" t="s">
        <v>210</v>
      </c>
      <c r="Q8" s="4" t="s">
        <v>210</v>
      </c>
      <c r="R8" s="4" t="s">
        <v>210</v>
      </c>
      <c r="S8" s="4" t="s">
        <v>210</v>
      </c>
      <c r="T8" s="4" t="s">
        <v>210</v>
      </c>
      <c r="U8" s="4" t="s">
        <v>210</v>
      </c>
      <c r="V8" s="4" t="s">
        <v>210</v>
      </c>
      <c r="W8" s="4" t="s">
        <v>210</v>
      </c>
      <c r="X8" s="4" t="s">
        <v>298</v>
      </c>
      <c r="Y8" s="4" t="s">
        <v>211</v>
      </c>
      <c r="Z8" s="4" t="s">
        <v>211</v>
      </c>
      <c r="AA8" s="4" t="s">
        <v>294</v>
      </c>
      <c r="AB8" s="4" t="s">
        <v>295</v>
      </c>
    </row>
    <row r="9" spans="1:28">
      <c r="A9" s="4" t="s">
        <v>135</v>
      </c>
      <c r="B9" s="4" t="s">
        <v>135</v>
      </c>
      <c r="C9" s="4" t="s">
        <v>211</v>
      </c>
      <c r="D9" s="4" t="s">
        <v>296</v>
      </c>
      <c r="E9" s="4" t="s">
        <v>94</v>
      </c>
      <c r="F9" s="4" t="s">
        <v>112</v>
      </c>
      <c r="G9" s="4" t="s">
        <v>112</v>
      </c>
      <c r="H9" s="4" t="s">
        <v>210</v>
      </c>
      <c r="I9" s="4" t="s">
        <v>211</v>
      </c>
      <c r="J9" s="4" t="s">
        <v>225</v>
      </c>
      <c r="K9" s="4" t="s">
        <v>226</v>
      </c>
      <c r="L9" s="4" t="s">
        <v>210</v>
      </c>
      <c r="M9" s="4" t="s">
        <v>297</v>
      </c>
      <c r="N9" s="4" t="s">
        <v>342</v>
      </c>
      <c r="O9" s="4" t="s">
        <v>211</v>
      </c>
      <c r="P9" s="4" t="s">
        <v>210</v>
      </c>
      <c r="Q9" s="4" t="s">
        <v>210</v>
      </c>
      <c r="R9" s="4" t="s">
        <v>210</v>
      </c>
      <c r="S9" s="4" t="s">
        <v>210</v>
      </c>
      <c r="T9" s="4" t="s">
        <v>210</v>
      </c>
      <c r="U9" s="4" t="s">
        <v>210</v>
      </c>
      <c r="V9" s="4" t="s">
        <v>210</v>
      </c>
      <c r="W9" s="4" t="s">
        <v>210</v>
      </c>
      <c r="X9" s="4" t="s">
        <v>298</v>
      </c>
      <c r="Y9" s="4" t="s">
        <v>211</v>
      </c>
      <c r="Z9" s="4" t="s">
        <v>211</v>
      </c>
      <c r="AA9" s="4" t="s">
        <v>294</v>
      </c>
      <c r="AB9" s="4" t="s">
        <v>295</v>
      </c>
    </row>
    <row r="10" spans="1:28">
      <c r="A10" s="4" t="s">
        <v>136</v>
      </c>
      <c r="B10" s="4" t="s">
        <v>136</v>
      </c>
      <c r="C10" s="4" t="s">
        <v>211</v>
      </c>
      <c r="D10" s="4" t="s">
        <v>296</v>
      </c>
      <c r="E10" s="4" t="s">
        <v>94</v>
      </c>
      <c r="F10" s="4" t="s">
        <v>112</v>
      </c>
      <c r="G10" s="4" t="s">
        <v>112</v>
      </c>
      <c r="H10" s="4" t="s">
        <v>210</v>
      </c>
      <c r="I10" s="4" t="s">
        <v>211</v>
      </c>
      <c r="J10" s="4" t="s">
        <v>225</v>
      </c>
      <c r="K10" s="4" t="s">
        <v>226</v>
      </c>
      <c r="L10" s="4" t="s">
        <v>210</v>
      </c>
      <c r="M10" s="4" t="s">
        <v>297</v>
      </c>
      <c r="N10" s="4" t="s">
        <v>343</v>
      </c>
      <c r="O10" s="4" t="s">
        <v>211</v>
      </c>
      <c r="P10" s="4" t="s">
        <v>210</v>
      </c>
      <c r="Q10" s="4" t="s">
        <v>210</v>
      </c>
      <c r="R10" s="4" t="s">
        <v>210</v>
      </c>
      <c r="S10" s="4" t="s">
        <v>210</v>
      </c>
      <c r="T10" s="4" t="s">
        <v>210</v>
      </c>
      <c r="U10" s="4" t="s">
        <v>210</v>
      </c>
      <c r="V10" s="4" t="s">
        <v>210</v>
      </c>
      <c r="W10" s="4" t="s">
        <v>210</v>
      </c>
      <c r="X10" s="4" t="s">
        <v>298</v>
      </c>
      <c r="Y10" s="4" t="s">
        <v>211</v>
      </c>
      <c r="Z10" s="4" t="s">
        <v>211</v>
      </c>
      <c r="AA10" s="4" t="s">
        <v>294</v>
      </c>
      <c r="AB10" s="4" t="s">
        <v>295</v>
      </c>
    </row>
    <row r="11" spans="1:28">
      <c r="A11" s="4" t="s">
        <v>137</v>
      </c>
      <c r="B11" s="4" t="s">
        <v>137</v>
      </c>
      <c r="C11" s="4" t="s">
        <v>211</v>
      </c>
      <c r="D11" s="4" t="s">
        <v>296</v>
      </c>
      <c r="E11" s="4" t="s">
        <v>94</v>
      </c>
      <c r="F11" s="4" t="s">
        <v>112</v>
      </c>
      <c r="G11" s="4" t="s">
        <v>112</v>
      </c>
      <c r="H11" s="4" t="s">
        <v>210</v>
      </c>
      <c r="I11" s="4" t="s">
        <v>211</v>
      </c>
      <c r="J11" s="4" t="s">
        <v>225</v>
      </c>
      <c r="K11" s="4" t="s">
        <v>226</v>
      </c>
      <c r="L11" s="4" t="s">
        <v>210</v>
      </c>
      <c r="M11" s="4" t="s">
        <v>297</v>
      </c>
      <c r="N11" s="4" t="s">
        <v>344</v>
      </c>
      <c r="O11" s="4" t="s">
        <v>211</v>
      </c>
      <c r="P11" s="4" t="s">
        <v>210</v>
      </c>
      <c r="Q11" s="4" t="s">
        <v>210</v>
      </c>
      <c r="R11" s="4" t="s">
        <v>210</v>
      </c>
      <c r="S11" s="4" t="s">
        <v>210</v>
      </c>
      <c r="T11" s="4" t="s">
        <v>210</v>
      </c>
      <c r="U11" s="4" t="s">
        <v>210</v>
      </c>
      <c r="V11" s="4" t="s">
        <v>210</v>
      </c>
      <c r="W11" s="4" t="s">
        <v>210</v>
      </c>
      <c r="X11" s="4" t="s">
        <v>298</v>
      </c>
      <c r="Y11" s="4" t="s">
        <v>211</v>
      </c>
      <c r="Z11" s="4" t="s">
        <v>211</v>
      </c>
      <c r="AA11" s="4" t="s">
        <v>294</v>
      </c>
      <c r="AB11" s="4" t="s">
        <v>295</v>
      </c>
    </row>
    <row r="12" spans="1:28">
      <c r="A12" s="4" t="s">
        <v>138</v>
      </c>
      <c r="B12" s="4" t="s">
        <v>138</v>
      </c>
      <c r="C12" s="4" t="s">
        <v>211</v>
      </c>
      <c r="D12" s="4" t="s">
        <v>296</v>
      </c>
      <c r="E12" s="4" t="s">
        <v>94</v>
      </c>
      <c r="F12" s="4" t="s">
        <v>112</v>
      </c>
      <c r="G12" s="4" t="s">
        <v>112</v>
      </c>
      <c r="H12" s="4" t="s">
        <v>210</v>
      </c>
      <c r="I12" s="4" t="s">
        <v>211</v>
      </c>
      <c r="J12" s="4" t="s">
        <v>250</v>
      </c>
      <c r="K12" s="4" t="s">
        <v>251</v>
      </c>
      <c r="L12" s="4" t="s">
        <v>210</v>
      </c>
      <c r="M12" s="4" t="s">
        <v>297</v>
      </c>
      <c r="N12" s="4" t="s">
        <v>345</v>
      </c>
      <c r="O12" s="4" t="s">
        <v>211</v>
      </c>
      <c r="P12" s="4" t="s">
        <v>210</v>
      </c>
      <c r="Q12" s="4" t="s">
        <v>210</v>
      </c>
      <c r="R12" s="4" t="s">
        <v>210</v>
      </c>
      <c r="S12" s="4" t="s">
        <v>210</v>
      </c>
      <c r="T12" s="4" t="s">
        <v>210</v>
      </c>
      <c r="U12" s="4" t="s">
        <v>210</v>
      </c>
      <c r="V12" s="4" t="s">
        <v>210</v>
      </c>
      <c r="W12" s="4" t="s">
        <v>210</v>
      </c>
      <c r="X12" s="4" t="s">
        <v>298</v>
      </c>
      <c r="Y12" s="4" t="s">
        <v>211</v>
      </c>
      <c r="Z12" s="4" t="s">
        <v>211</v>
      </c>
      <c r="AA12" s="4" t="s">
        <v>294</v>
      </c>
      <c r="AB12" s="4" t="s">
        <v>295</v>
      </c>
    </row>
    <row r="13" spans="1:28">
      <c r="A13" s="4" t="s">
        <v>139</v>
      </c>
      <c r="B13" s="4" t="s">
        <v>139</v>
      </c>
      <c r="C13" s="4" t="s">
        <v>211</v>
      </c>
      <c r="D13" s="4" t="s">
        <v>296</v>
      </c>
      <c r="E13" s="4" t="s">
        <v>94</v>
      </c>
      <c r="F13" s="4" t="s">
        <v>112</v>
      </c>
      <c r="G13" s="4" t="s">
        <v>112</v>
      </c>
      <c r="H13" s="4" t="s">
        <v>210</v>
      </c>
      <c r="I13" s="4" t="s">
        <v>211</v>
      </c>
      <c r="J13" s="4" t="s">
        <v>225</v>
      </c>
      <c r="K13" s="4" t="s">
        <v>226</v>
      </c>
      <c r="L13" s="4" t="s">
        <v>210</v>
      </c>
      <c r="M13" s="4" t="s">
        <v>297</v>
      </c>
      <c r="N13" s="4" t="s">
        <v>346</v>
      </c>
      <c r="O13" s="4" t="s">
        <v>211</v>
      </c>
      <c r="P13" s="4" t="s">
        <v>210</v>
      </c>
      <c r="Q13" s="4" t="s">
        <v>210</v>
      </c>
      <c r="R13" s="4" t="s">
        <v>210</v>
      </c>
      <c r="S13" s="4" t="s">
        <v>210</v>
      </c>
      <c r="T13" s="4" t="s">
        <v>210</v>
      </c>
      <c r="U13" s="4" t="s">
        <v>210</v>
      </c>
      <c r="V13" s="4" t="s">
        <v>210</v>
      </c>
      <c r="W13" s="4" t="s">
        <v>210</v>
      </c>
      <c r="X13" s="4" t="s">
        <v>298</v>
      </c>
      <c r="Y13" s="4" t="s">
        <v>211</v>
      </c>
      <c r="Z13" s="4" t="s">
        <v>211</v>
      </c>
      <c r="AA13" s="4" t="s">
        <v>294</v>
      </c>
      <c r="AB13" s="4" t="s">
        <v>295</v>
      </c>
    </row>
    <row r="14" spans="1:28">
      <c r="A14" s="4" t="s">
        <v>140</v>
      </c>
      <c r="B14" s="4" t="s">
        <v>140</v>
      </c>
      <c r="C14" s="4" t="s">
        <v>211</v>
      </c>
      <c r="D14" s="4" t="s">
        <v>296</v>
      </c>
      <c r="E14" s="4" t="s">
        <v>94</v>
      </c>
      <c r="F14" s="4" t="s">
        <v>112</v>
      </c>
      <c r="G14" s="4" t="s">
        <v>112</v>
      </c>
      <c r="H14" s="4" t="s">
        <v>210</v>
      </c>
      <c r="I14" s="4" t="s">
        <v>211</v>
      </c>
      <c r="J14" s="4" t="s">
        <v>225</v>
      </c>
      <c r="K14" s="4" t="s">
        <v>226</v>
      </c>
      <c r="L14" s="4" t="s">
        <v>210</v>
      </c>
      <c r="M14" s="4" t="s">
        <v>297</v>
      </c>
      <c r="N14" s="4" t="s">
        <v>347</v>
      </c>
      <c r="O14" s="4" t="s">
        <v>211</v>
      </c>
      <c r="P14" s="4" t="s">
        <v>210</v>
      </c>
      <c r="Q14" s="4" t="s">
        <v>210</v>
      </c>
      <c r="R14" s="4" t="s">
        <v>210</v>
      </c>
      <c r="S14" s="4" t="s">
        <v>210</v>
      </c>
      <c r="T14" s="4" t="s">
        <v>210</v>
      </c>
      <c r="U14" s="4" t="s">
        <v>210</v>
      </c>
      <c r="V14" s="4" t="s">
        <v>210</v>
      </c>
      <c r="W14" s="4" t="s">
        <v>210</v>
      </c>
      <c r="X14" s="4" t="s">
        <v>298</v>
      </c>
      <c r="Y14" s="4" t="s">
        <v>211</v>
      </c>
      <c r="Z14" s="4" t="s">
        <v>211</v>
      </c>
      <c r="AA14" s="4" t="s">
        <v>294</v>
      </c>
      <c r="AB14" s="4" t="s">
        <v>295</v>
      </c>
    </row>
    <row r="15" spans="1:28">
      <c r="A15" s="4" t="s">
        <v>141</v>
      </c>
      <c r="B15" s="4" t="s">
        <v>141</v>
      </c>
      <c r="C15" s="4" t="s">
        <v>211</v>
      </c>
      <c r="D15" s="4" t="s">
        <v>296</v>
      </c>
      <c r="E15" s="4" t="s">
        <v>94</v>
      </c>
      <c r="F15" s="4" t="s">
        <v>112</v>
      </c>
      <c r="G15" s="4" t="s">
        <v>112</v>
      </c>
      <c r="H15" s="4" t="s">
        <v>210</v>
      </c>
      <c r="I15" s="4" t="s">
        <v>211</v>
      </c>
      <c r="J15" s="4" t="s">
        <v>225</v>
      </c>
      <c r="K15" s="4" t="s">
        <v>226</v>
      </c>
      <c r="L15" s="4" t="s">
        <v>210</v>
      </c>
      <c r="M15" s="4" t="s">
        <v>297</v>
      </c>
      <c r="N15" s="4" t="s">
        <v>348</v>
      </c>
      <c r="O15" s="4" t="s">
        <v>211</v>
      </c>
      <c r="P15" s="4" t="s">
        <v>210</v>
      </c>
      <c r="Q15" s="4" t="s">
        <v>210</v>
      </c>
      <c r="R15" s="4" t="s">
        <v>210</v>
      </c>
      <c r="S15" s="4" t="s">
        <v>210</v>
      </c>
      <c r="T15" s="4" t="s">
        <v>210</v>
      </c>
      <c r="U15" s="4" t="s">
        <v>210</v>
      </c>
      <c r="V15" s="4" t="s">
        <v>210</v>
      </c>
      <c r="W15" s="4" t="s">
        <v>210</v>
      </c>
      <c r="X15" s="4" t="s">
        <v>298</v>
      </c>
      <c r="Y15" s="4" t="s">
        <v>211</v>
      </c>
      <c r="Z15" s="4" t="s">
        <v>211</v>
      </c>
      <c r="AA15" s="4" t="s">
        <v>294</v>
      </c>
      <c r="AB15" s="4" t="s">
        <v>295</v>
      </c>
    </row>
    <row r="16" spans="1:28">
      <c r="A16" s="4" t="s">
        <v>142</v>
      </c>
      <c r="B16" s="4" t="s">
        <v>142</v>
      </c>
      <c r="C16" s="4" t="s">
        <v>211</v>
      </c>
      <c r="D16" s="4" t="s">
        <v>296</v>
      </c>
      <c r="E16" s="4" t="s">
        <v>94</v>
      </c>
      <c r="F16" s="4" t="s">
        <v>112</v>
      </c>
      <c r="G16" s="4" t="s">
        <v>112</v>
      </c>
      <c r="H16" s="4" t="s">
        <v>210</v>
      </c>
      <c r="I16" s="4" t="s">
        <v>211</v>
      </c>
      <c r="J16" s="4" t="s">
        <v>225</v>
      </c>
      <c r="K16" s="4" t="s">
        <v>226</v>
      </c>
      <c r="L16" s="4" t="s">
        <v>210</v>
      </c>
      <c r="M16" s="4" t="s">
        <v>297</v>
      </c>
      <c r="N16" s="4" t="s">
        <v>349</v>
      </c>
      <c r="O16" s="4" t="s">
        <v>211</v>
      </c>
      <c r="P16" s="4" t="s">
        <v>210</v>
      </c>
      <c r="Q16" s="4" t="s">
        <v>210</v>
      </c>
      <c r="R16" s="4" t="s">
        <v>210</v>
      </c>
      <c r="S16" s="4" t="s">
        <v>210</v>
      </c>
      <c r="T16" s="4" t="s">
        <v>210</v>
      </c>
      <c r="U16" s="4" t="s">
        <v>210</v>
      </c>
      <c r="V16" s="4" t="s">
        <v>210</v>
      </c>
      <c r="W16" s="4" t="s">
        <v>210</v>
      </c>
      <c r="X16" s="4" t="s">
        <v>298</v>
      </c>
      <c r="Y16" s="4" t="s">
        <v>211</v>
      </c>
      <c r="Z16" s="4" t="s">
        <v>211</v>
      </c>
      <c r="AA16" s="4" t="s">
        <v>294</v>
      </c>
      <c r="AB16" s="4" t="s">
        <v>295</v>
      </c>
    </row>
    <row r="17" spans="1:28">
      <c r="A17" s="4" t="s">
        <v>143</v>
      </c>
      <c r="B17" s="4" t="s">
        <v>143</v>
      </c>
      <c r="C17" s="4" t="s">
        <v>211</v>
      </c>
      <c r="D17" s="4" t="s">
        <v>296</v>
      </c>
      <c r="E17" s="4" t="s">
        <v>94</v>
      </c>
      <c r="F17" s="4" t="s">
        <v>112</v>
      </c>
      <c r="G17" s="4" t="s">
        <v>112</v>
      </c>
      <c r="H17" s="4" t="s">
        <v>210</v>
      </c>
      <c r="I17" s="4" t="s">
        <v>211</v>
      </c>
      <c r="J17" s="4" t="s">
        <v>250</v>
      </c>
      <c r="K17" s="4" t="s">
        <v>251</v>
      </c>
      <c r="L17" s="4" t="s">
        <v>210</v>
      </c>
      <c r="M17" s="4" t="s">
        <v>297</v>
      </c>
      <c r="N17" s="4" t="s">
        <v>350</v>
      </c>
      <c r="O17" s="4" t="s">
        <v>211</v>
      </c>
      <c r="P17" s="4" t="s">
        <v>210</v>
      </c>
      <c r="Q17" s="4" t="s">
        <v>210</v>
      </c>
      <c r="R17" s="4" t="s">
        <v>210</v>
      </c>
      <c r="S17" s="4" t="s">
        <v>210</v>
      </c>
      <c r="T17" s="4" t="s">
        <v>210</v>
      </c>
      <c r="U17" s="4" t="s">
        <v>210</v>
      </c>
      <c r="V17" s="4" t="s">
        <v>210</v>
      </c>
      <c r="W17" s="4" t="s">
        <v>210</v>
      </c>
      <c r="X17" s="4" t="s">
        <v>298</v>
      </c>
      <c r="Y17" s="4" t="s">
        <v>211</v>
      </c>
      <c r="Z17" s="4" t="s">
        <v>211</v>
      </c>
      <c r="AA17" s="4" t="s">
        <v>294</v>
      </c>
      <c r="AB17" s="4" t="s">
        <v>295</v>
      </c>
    </row>
    <row r="18" spans="1:28">
      <c r="A18" s="4" t="s">
        <v>144</v>
      </c>
      <c r="B18" s="4" t="s">
        <v>144</v>
      </c>
      <c r="C18" s="4" t="s">
        <v>211</v>
      </c>
      <c r="D18" s="4" t="s">
        <v>296</v>
      </c>
      <c r="E18" s="4" t="s">
        <v>94</v>
      </c>
      <c r="F18" s="4" t="s">
        <v>112</v>
      </c>
      <c r="G18" s="4" t="s">
        <v>112</v>
      </c>
      <c r="H18" s="4" t="s">
        <v>210</v>
      </c>
      <c r="I18" s="4" t="s">
        <v>211</v>
      </c>
      <c r="J18" s="4" t="s">
        <v>225</v>
      </c>
      <c r="K18" s="4" t="s">
        <v>226</v>
      </c>
      <c r="L18" s="4" t="s">
        <v>210</v>
      </c>
      <c r="M18" s="4" t="s">
        <v>297</v>
      </c>
      <c r="N18" s="4" t="s">
        <v>351</v>
      </c>
      <c r="O18" s="4" t="s">
        <v>211</v>
      </c>
      <c r="P18" s="4" t="s">
        <v>210</v>
      </c>
      <c r="Q18" s="4" t="s">
        <v>210</v>
      </c>
      <c r="R18" s="4" t="s">
        <v>210</v>
      </c>
      <c r="S18" s="4" t="s">
        <v>210</v>
      </c>
      <c r="T18" s="4" t="s">
        <v>210</v>
      </c>
      <c r="U18" s="4" t="s">
        <v>210</v>
      </c>
      <c r="V18" s="4" t="s">
        <v>210</v>
      </c>
      <c r="W18" s="4" t="s">
        <v>210</v>
      </c>
      <c r="X18" s="4" t="s">
        <v>298</v>
      </c>
      <c r="Y18" s="4" t="s">
        <v>211</v>
      </c>
      <c r="Z18" s="4" t="s">
        <v>211</v>
      </c>
      <c r="AA18" s="4" t="s">
        <v>294</v>
      </c>
      <c r="AB18" s="4" t="s">
        <v>295</v>
      </c>
    </row>
    <row r="19" spans="1:28">
      <c r="A19" s="4" t="s">
        <v>145</v>
      </c>
      <c r="B19" s="4" t="s">
        <v>145</v>
      </c>
      <c r="C19" s="4" t="s">
        <v>211</v>
      </c>
      <c r="D19" s="4" t="s">
        <v>296</v>
      </c>
      <c r="E19" s="4" t="s">
        <v>94</v>
      </c>
      <c r="F19" s="4" t="s">
        <v>112</v>
      </c>
      <c r="G19" s="4" t="s">
        <v>112</v>
      </c>
      <c r="H19" s="4" t="s">
        <v>210</v>
      </c>
      <c r="I19" s="4" t="s">
        <v>211</v>
      </c>
      <c r="J19" s="4" t="s">
        <v>225</v>
      </c>
      <c r="K19" s="4" t="s">
        <v>226</v>
      </c>
      <c r="L19" s="4" t="s">
        <v>210</v>
      </c>
      <c r="M19" s="4" t="s">
        <v>297</v>
      </c>
      <c r="N19" s="4" t="s">
        <v>352</v>
      </c>
      <c r="O19" s="4" t="s">
        <v>211</v>
      </c>
      <c r="P19" s="4" t="s">
        <v>210</v>
      </c>
      <c r="Q19" s="4" t="s">
        <v>210</v>
      </c>
      <c r="R19" s="4" t="s">
        <v>210</v>
      </c>
      <c r="S19" s="4" t="s">
        <v>210</v>
      </c>
      <c r="T19" s="4" t="s">
        <v>210</v>
      </c>
      <c r="U19" s="4" t="s">
        <v>210</v>
      </c>
      <c r="V19" s="4" t="s">
        <v>210</v>
      </c>
      <c r="W19" s="4" t="s">
        <v>210</v>
      </c>
      <c r="X19" s="4" t="s">
        <v>298</v>
      </c>
      <c r="Y19" s="4" t="s">
        <v>211</v>
      </c>
      <c r="Z19" s="4" t="s">
        <v>211</v>
      </c>
      <c r="AA19" s="4" t="s">
        <v>294</v>
      </c>
      <c r="AB19" s="4" t="s">
        <v>295</v>
      </c>
    </row>
    <row r="20" spans="1:28">
      <c r="A20" s="4" t="s">
        <v>146</v>
      </c>
      <c r="B20" s="4" t="s">
        <v>146</v>
      </c>
      <c r="C20" s="4" t="s">
        <v>211</v>
      </c>
      <c r="D20" s="4" t="s">
        <v>296</v>
      </c>
      <c r="E20" s="4" t="s">
        <v>94</v>
      </c>
      <c r="F20" s="4" t="s">
        <v>112</v>
      </c>
      <c r="G20" s="4" t="s">
        <v>112</v>
      </c>
      <c r="H20" s="4" t="s">
        <v>210</v>
      </c>
      <c r="I20" s="4" t="s">
        <v>211</v>
      </c>
      <c r="J20" s="4" t="s">
        <v>353</v>
      </c>
      <c r="K20" s="4" t="s">
        <v>354</v>
      </c>
      <c r="L20" s="4" t="s">
        <v>210</v>
      </c>
      <c r="M20" s="4" t="s">
        <v>297</v>
      </c>
      <c r="N20" s="4" t="s">
        <v>355</v>
      </c>
      <c r="O20" s="4" t="s">
        <v>211</v>
      </c>
      <c r="P20" s="4" t="s">
        <v>210</v>
      </c>
      <c r="Q20" s="4" t="s">
        <v>210</v>
      </c>
      <c r="R20" s="4" t="s">
        <v>210</v>
      </c>
      <c r="S20" s="4" t="s">
        <v>210</v>
      </c>
      <c r="T20" s="4" t="s">
        <v>210</v>
      </c>
      <c r="U20" s="4" t="s">
        <v>210</v>
      </c>
      <c r="V20" s="4" t="s">
        <v>210</v>
      </c>
      <c r="W20" s="4" t="s">
        <v>210</v>
      </c>
      <c r="X20" s="4" t="s">
        <v>298</v>
      </c>
      <c r="Y20" s="4" t="s">
        <v>211</v>
      </c>
      <c r="Z20" s="4" t="s">
        <v>211</v>
      </c>
      <c r="AA20" s="4" t="s">
        <v>294</v>
      </c>
      <c r="AB20" s="4" t="s">
        <v>295</v>
      </c>
    </row>
    <row r="21" spans="1:28">
      <c r="A21" s="4" t="s">
        <v>147</v>
      </c>
      <c r="B21" s="4" t="s">
        <v>147</v>
      </c>
      <c r="C21" s="4" t="s">
        <v>211</v>
      </c>
      <c r="D21" s="4" t="s">
        <v>296</v>
      </c>
      <c r="E21" s="4" t="s">
        <v>94</v>
      </c>
      <c r="F21" s="4" t="s">
        <v>112</v>
      </c>
      <c r="G21" s="4" t="s">
        <v>112</v>
      </c>
      <c r="H21" s="4" t="s">
        <v>210</v>
      </c>
      <c r="I21" s="4" t="s">
        <v>211</v>
      </c>
      <c r="J21" s="4" t="s">
        <v>225</v>
      </c>
      <c r="K21" s="4" t="s">
        <v>226</v>
      </c>
      <c r="L21" s="4" t="s">
        <v>210</v>
      </c>
      <c r="M21" s="4" t="s">
        <v>297</v>
      </c>
      <c r="N21" s="4" t="s">
        <v>356</v>
      </c>
      <c r="O21" s="4" t="s">
        <v>211</v>
      </c>
      <c r="P21" s="4" t="s">
        <v>210</v>
      </c>
      <c r="Q21" s="4" t="s">
        <v>210</v>
      </c>
      <c r="R21" s="4" t="s">
        <v>210</v>
      </c>
      <c r="S21" s="4" t="s">
        <v>210</v>
      </c>
      <c r="T21" s="4" t="s">
        <v>210</v>
      </c>
      <c r="U21" s="4" t="s">
        <v>210</v>
      </c>
      <c r="V21" s="4" t="s">
        <v>210</v>
      </c>
      <c r="W21" s="4" t="s">
        <v>210</v>
      </c>
      <c r="X21" s="4" t="s">
        <v>298</v>
      </c>
      <c r="Y21" s="4" t="s">
        <v>211</v>
      </c>
      <c r="Z21" s="4" t="s">
        <v>211</v>
      </c>
      <c r="AA21" s="4" t="s">
        <v>294</v>
      </c>
      <c r="AB21" s="4" t="s">
        <v>295</v>
      </c>
    </row>
    <row r="22" spans="1:28">
      <c r="A22" s="4" t="s">
        <v>148</v>
      </c>
      <c r="B22" s="4" t="s">
        <v>148</v>
      </c>
      <c r="C22" s="4" t="s">
        <v>211</v>
      </c>
      <c r="D22" s="4" t="s">
        <v>296</v>
      </c>
      <c r="E22" s="4" t="s">
        <v>94</v>
      </c>
      <c r="F22" s="4" t="s">
        <v>112</v>
      </c>
      <c r="G22" s="4" t="s">
        <v>112</v>
      </c>
      <c r="H22" s="4" t="s">
        <v>210</v>
      </c>
      <c r="I22" s="4" t="s">
        <v>211</v>
      </c>
      <c r="J22" s="4" t="s">
        <v>225</v>
      </c>
      <c r="K22" s="4" t="s">
        <v>226</v>
      </c>
      <c r="L22" s="4" t="s">
        <v>210</v>
      </c>
      <c r="M22" s="4" t="s">
        <v>297</v>
      </c>
      <c r="N22" s="4" t="s">
        <v>357</v>
      </c>
      <c r="O22" s="4" t="s">
        <v>211</v>
      </c>
      <c r="P22" s="4" t="s">
        <v>210</v>
      </c>
      <c r="Q22" s="4" t="s">
        <v>210</v>
      </c>
      <c r="R22" s="4" t="s">
        <v>210</v>
      </c>
      <c r="S22" s="4" t="s">
        <v>210</v>
      </c>
      <c r="T22" s="4" t="s">
        <v>210</v>
      </c>
      <c r="U22" s="4" t="s">
        <v>210</v>
      </c>
      <c r="V22" s="4" t="s">
        <v>210</v>
      </c>
      <c r="W22" s="4" t="s">
        <v>210</v>
      </c>
      <c r="X22" s="4" t="s">
        <v>298</v>
      </c>
      <c r="Y22" s="4" t="s">
        <v>211</v>
      </c>
      <c r="Z22" s="4" t="s">
        <v>211</v>
      </c>
      <c r="AA22" s="4" t="s">
        <v>294</v>
      </c>
      <c r="AB22" s="4" t="s">
        <v>295</v>
      </c>
    </row>
    <row r="23" spans="1:28">
      <c r="A23" s="4" t="s">
        <v>149</v>
      </c>
      <c r="B23" s="4" t="s">
        <v>149</v>
      </c>
      <c r="C23" s="4" t="s">
        <v>211</v>
      </c>
      <c r="D23" s="4" t="s">
        <v>296</v>
      </c>
      <c r="E23" s="4" t="s">
        <v>94</v>
      </c>
      <c r="F23" s="4" t="s">
        <v>112</v>
      </c>
      <c r="G23" s="4" t="s">
        <v>112</v>
      </c>
      <c r="H23" s="4" t="s">
        <v>210</v>
      </c>
      <c r="I23" s="4" t="s">
        <v>211</v>
      </c>
      <c r="J23" s="4" t="s">
        <v>250</v>
      </c>
      <c r="K23" s="4" t="s">
        <v>251</v>
      </c>
      <c r="L23" s="4" t="s">
        <v>210</v>
      </c>
      <c r="M23" s="4" t="s">
        <v>297</v>
      </c>
      <c r="N23" s="4" t="s">
        <v>358</v>
      </c>
      <c r="O23" s="4" t="s">
        <v>211</v>
      </c>
      <c r="P23" s="4" t="s">
        <v>210</v>
      </c>
      <c r="Q23" s="4" t="s">
        <v>210</v>
      </c>
      <c r="R23" s="4" t="s">
        <v>210</v>
      </c>
      <c r="S23" s="4" t="s">
        <v>210</v>
      </c>
      <c r="T23" s="4" t="s">
        <v>210</v>
      </c>
      <c r="U23" s="4" t="s">
        <v>210</v>
      </c>
      <c r="V23" s="4" t="s">
        <v>210</v>
      </c>
      <c r="W23" s="4" t="s">
        <v>210</v>
      </c>
      <c r="X23" s="4" t="s">
        <v>298</v>
      </c>
      <c r="Y23" s="4" t="s">
        <v>211</v>
      </c>
      <c r="Z23" s="4" t="s">
        <v>211</v>
      </c>
      <c r="AA23" s="4" t="s">
        <v>294</v>
      </c>
      <c r="AB23" s="4" t="s">
        <v>295</v>
      </c>
    </row>
    <row r="24" spans="1:28">
      <c r="A24" s="4" t="s">
        <v>150</v>
      </c>
      <c r="B24" s="4" t="s">
        <v>150</v>
      </c>
      <c r="C24" s="4" t="s">
        <v>211</v>
      </c>
      <c r="D24" s="4" t="s">
        <v>296</v>
      </c>
      <c r="E24" s="4" t="s">
        <v>94</v>
      </c>
      <c r="F24" s="4" t="s">
        <v>112</v>
      </c>
      <c r="G24" s="4" t="s">
        <v>112</v>
      </c>
      <c r="H24" s="4" t="s">
        <v>210</v>
      </c>
      <c r="I24" s="4" t="s">
        <v>211</v>
      </c>
      <c r="J24" s="4" t="s">
        <v>225</v>
      </c>
      <c r="K24" s="4" t="s">
        <v>226</v>
      </c>
      <c r="L24" s="4" t="s">
        <v>210</v>
      </c>
      <c r="M24" s="4" t="s">
        <v>297</v>
      </c>
      <c r="N24" s="4" t="s">
        <v>359</v>
      </c>
      <c r="O24" s="4" t="s">
        <v>211</v>
      </c>
      <c r="P24" s="4" t="s">
        <v>210</v>
      </c>
      <c r="Q24" s="4" t="s">
        <v>210</v>
      </c>
      <c r="R24" s="4" t="s">
        <v>210</v>
      </c>
      <c r="S24" s="4" t="s">
        <v>210</v>
      </c>
      <c r="T24" s="4" t="s">
        <v>210</v>
      </c>
      <c r="U24" s="4" t="s">
        <v>210</v>
      </c>
      <c r="V24" s="4" t="s">
        <v>210</v>
      </c>
      <c r="W24" s="4" t="s">
        <v>210</v>
      </c>
      <c r="X24" s="4" t="s">
        <v>298</v>
      </c>
      <c r="Y24" s="4" t="s">
        <v>211</v>
      </c>
      <c r="Z24" s="4" t="s">
        <v>211</v>
      </c>
      <c r="AA24" s="4" t="s">
        <v>294</v>
      </c>
      <c r="AB24" s="4" t="s">
        <v>295</v>
      </c>
    </row>
    <row r="25" spans="1:28">
      <c r="A25" s="4" t="s">
        <v>151</v>
      </c>
      <c r="B25" s="4" t="s">
        <v>151</v>
      </c>
      <c r="C25" s="4" t="s">
        <v>211</v>
      </c>
      <c r="D25" s="4" t="s">
        <v>296</v>
      </c>
      <c r="E25" s="4" t="s">
        <v>94</v>
      </c>
      <c r="F25" s="4" t="s">
        <v>112</v>
      </c>
      <c r="G25" s="4" t="s">
        <v>112</v>
      </c>
      <c r="H25" s="4" t="s">
        <v>210</v>
      </c>
      <c r="I25" s="4" t="s">
        <v>211</v>
      </c>
      <c r="J25" s="4" t="s">
        <v>225</v>
      </c>
      <c r="K25" s="4" t="s">
        <v>226</v>
      </c>
      <c r="L25" s="4" t="s">
        <v>210</v>
      </c>
      <c r="M25" s="4" t="s">
        <v>297</v>
      </c>
      <c r="N25" s="4" t="s">
        <v>360</v>
      </c>
      <c r="O25" s="4" t="s">
        <v>211</v>
      </c>
      <c r="P25" s="4" t="s">
        <v>210</v>
      </c>
      <c r="Q25" s="4" t="s">
        <v>210</v>
      </c>
      <c r="R25" s="4" t="s">
        <v>210</v>
      </c>
      <c r="S25" s="4" t="s">
        <v>210</v>
      </c>
      <c r="T25" s="4" t="s">
        <v>210</v>
      </c>
      <c r="U25" s="4" t="s">
        <v>210</v>
      </c>
      <c r="V25" s="4" t="s">
        <v>210</v>
      </c>
      <c r="W25" s="4" t="s">
        <v>210</v>
      </c>
      <c r="X25" s="4" t="s">
        <v>298</v>
      </c>
      <c r="Y25" s="4" t="s">
        <v>211</v>
      </c>
      <c r="Z25" s="4" t="s">
        <v>211</v>
      </c>
      <c r="AA25" s="4" t="s">
        <v>294</v>
      </c>
      <c r="AB25" s="4" t="s">
        <v>295</v>
      </c>
    </row>
    <row r="26" spans="1:28">
      <c r="A26" s="4" t="s">
        <v>152</v>
      </c>
      <c r="B26" s="4" t="s">
        <v>152</v>
      </c>
      <c r="C26" s="4" t="s">
        <v>211</v>
      </c>
      <c r="D26" s="4" t="s">
        <v>296</v>
      </c>
      <c r="E26" s="4" t="s">
        <v>94</v>
      </c>
      <c r="F26" s="4" t="s">
        <v>112</v>
      </c>
      <c r="G26" s="4" t="s">
        <v>112</v>
      </c>
      <c r="H26" s="4" t="s">
        <v>210</v>
      </c>
      <c r="I26" s="4" t="s">
        <v>211</v>
      </c>
      <c r="J26" s="4" t="s">
        <v>225</v>
      </c>
      <c r="K26" s="4" t="s">
        <v>226</v>
      </c>
      <c r="L26" s="4" t="s">
        <v>210</v>
      </c>
      <c r="M26" s="4" t="s">
        <v>297</v>
      </c>
      <c r="N26" s="4" t="s">
        <v>361</v>
      </c>
      <c r="O26" s="4" t="s">
        <v>211</v>
      </c>
      <c r="P26" s="4" t="s">
        <v>210</v>
      </c>
      <c r="Q26" s="4" t="s">
        <v>210</v>
      </c>
      <c r="R26" s="4" t="s">
        <v>210</v>
      </c>
      <c r="S26" s="4" t="s">
        <v>210</v>
      </c>
      <c r="T26" s="4" t="s">
        <v>210</v>
      </c>
      <c r="U26" s="4" t="s">
        <v>210</v>
      </c>
      <c r="V26" s="4" t="s">
        <v>210</v>
      </c>
      <c r="W26" s="4" t="s">
        <v>210</v>
      </c>
      <c r="X26" s="4" t="s">
        <v>298</v>
      </c>
      <c r="Y26" s="4" t="s">
        <v>211</v>
      </c>
      <c r="Z26" s="4" t="s">
        <v>211</v>
      </c>
      <c r="AA26" s="4" t="s">
        <v>294</v>
      </c>
      <c r="AB26" s="4" t="s">
        <v>295</v>
      </c>
    </row>
    <row r="27" spans="1:28">
      <c r="A27" s="4" t="s">
        <v>153</v>
      </c>
      <c r="B27" s="4" t="s">
        <v>153</v>
      </c>
      <c r="C27" s="4" t="s">
        <v>211</v>
      </c>
      <c r="D27" s="4" t="s">
        <v>296</v>
      </c>
      <c r="E27" s="4" t="s">
        <v>94</v>
      </c>
      <c r="F27" s="4" t="s">
        <v>112</v>
      </c>
      <c r="G27" s="4" t="s">
        <v>112</v>
      </c>
      <c r="H27" s="4" t="s">
        <v>210</v>
      </c>
      <c r="I27" s="4" t="s">
        <v>211</v>
      </c>
      <c r="J27" s="4" t="s">
        <v>225</v>
      </c>
      <c r="K27" s="4" t="s">
        <v>226</v>
      </c>
      <c r="L27" s="4" t="s">
        <v>210</v>
      </c>
      <c r="M27" s="4" t="s">
        <v>297</v>
      </c>
      <c r="N27" s="4" t="s">
        <v>362</v>
      </c>
      <c r="O27" s="4" t="s">
        <v>211</v>
      </c>
      <c r="P27" s="4" t="s">
        <v>210</v>
      </c>
      <c r="Q27" s="4" t="s">
        <v>210</v>
      </c>
      <c r="R27" s="4" t="s">
        <v>210</v>
      </c>
      <c r="S27" s="4" t="s">
        <v>210</v>
      </c>
      <c r="T27" s="4" t="s">
        <v>210</v>
      </c>
      <c r="U27" s="4" t="s">
        <v>210</v>
      </c>
      <c r="V27" s="4" t="s">
        <v>210</v>
      </c>
      <c r="W27" s="4" t="s">
        <v>210</v>
      </c>
      <c r="X27" s="4" t="s">
        <v>298</v>
      </c>
      <c r="Y27" s="4" t="s">
        <v>211</v>
      </c>
      <c r="Z27" s="4" t="s">
        <v>211</v>
      </c>
      <c r="AA27" s="4" t="s">
        <v>294</v>
      </c>
      <c r="AB27" s="4" t="s">
        <v>295</v>
      </c>
    </row>
    <row r="28" spans="1:28">
      <c r="A28" s="4" t="s">
        <v>154</v>
      </c>
      <c r="B28" s="4" t="s">
        <v>154</v>
      </c>
      <c r="C28" s="4" t="s">
        <v>211</v>
      </c>
      <c r="D28" s="4" t="s">
        <v>296</v>
      </c>
      <c r="E28" s="4" t="s">
        <v>94</v>
      </c>
      <c r="F28" s="4" t="s">
        <v>112</v>
      </c>
      <c r="G28" s="4" t="s">
        <v>112</v>
      </c>
      <c r="H28" s="4" t="s">
        <v>210</v>
      </c>
      <c r="I28" s="4" t="s">
        <v>211</v>
      </c>
      <c r="J28" s="4" t="s">
        <v>250</v>
      </c>
      <c r="K28" s="4" t="s">
        <v>251</v>
      </c>
      <c r="L28" s="4" t="s">
        <v>210</v>
      </c>
      <c r="M28" s="4" t="s">
        <v>297</v>
      </c>
      <c r="N28" s="4" t="s">
        <v>363</v>
      </c>
      <c r="O28" s="4" t="s">
        <v>211</v>
      </c>
      <c r="P28" s="4" t="s">
        <v>210</v>
      </c>
      <c r="Q28" s="4" t="s">
        <v>210</v>
      </c>
      <c r="R28" s="4" t="s">
        <v>210</v>
      </c>
      <c r="S28" s="4" t="s">
        <v>210</v>
      </c>
      <c r="T28" s="4" t="s">
        <v>210</v>
      </c>
      <c r="U28" s="4" t="s">
        <v>210</v>
      </c>
      <c r="V28" s="4" t="s">
        <v>210</v>
      </c>
      <c r="W28" s="4" t="s">
        <v>210</v>
      </c>
      <c r="X28" s="4" t="s">
        <v>298</v>
      </c>
      <c r="Y28" s="4" t="s">
        <v>211</v>
      </c>
      <c r="Z28" s="4" t="s">
        <v>211</v>
      </c>
      <c r="AA28" s="4" t="s">
        <v>294</v>
      </c>
      <c r="AB28" s="4" t="s">
        <v>295</v>
      </c>
    </row>
    <row r="29" spans="1:28">
      <c r="A29" s="4" t="s">
        <v>155</v>
      </c>
      <c r="B29" s="4" t="s">
        <v>155</v>
      </c>
      <c r="C29" s="4" t="s">
        <v>211</v>
      </c>
      <c r="D29" s="4" t="s">
        <v>296</v>
      </c>
      <c r="E29" s="4" t="s">
        <v>94</v>
      </c>
      <c r="F29" s="4" t="s">
        <v>112</v>
      </c>
      <c r="G29" s="4" t="s">
        <v>112</v>
      </c>
      <c r="H29" s="4" t="s">
        <v>210</v>
      </c>
      <c r="I29" s="4" t="s">
        <v>211</v>
      </c>
      <c r="J29" s="4" t="s">
        <v>225</v>
      </c>
      <c r="K29" s="4" t="s">
        <v>226</v>
      </c>
      <c r="L29" s="4" t="s">
        <v>210</v>
      </c>
      <c r="M29" s="4" t="s">
        <v>297</v>
      </c>
      <c r="N29" s="4" t="s">
        <v>364</v>
      </c>
      <c r="O29" s="4" t="s">
        <v>211</v>
      </c>
      <c r="P29" s="4" t="s">
        <v>210</v>
      </c>
      <c r="Q29" s="4" t="s">
        <v>210</v>
      </c>
      <c r="R29" s="4" t="s">
        <v>210</v>
      </c>
      <c r="S29" s="4" t="s">
        <v>210</v>
      </c>
      <c r="T29" s="4" t="s">
        <v>210</v>
      </c>
      <c r="U29" s="4" t="s">
        <v>210</v>
      </c>
      <c r="V29" s="4" t="s">
        <v>210</v>
      </c>
      <c r="W29" s="4" t="s">
        <v>210</v>
      </c>
      <c r="X29" s="4" t="s">
        <v>298</v>
      </c>
      <c r="Y29" s="4" t="s">
        <v>211</v>
      </c>
      <c r="Z29" s="4" t="s">
        <v>211</v>
      </c>
      <c r="AA29" s="4" t="s">
        <v>294</v>
      </c>
      <c r="AB29" s="4" t="s">
        <v>295</v>
      </c>
    </row>
    <row r="30" spans="1:28">
      <c r="A30" s="4" t="s">
        <v>156</v>
      </c>
      <c r="B30" s="4" t="s">
        <v>156</v>
      </c>
      <c r="C30" s="4" t="s">
        <v>211</v>
      </c>
      <c r="D30" s="4" t="s">
        <v>296</v>
      </c>
      <c r="E30" s="4" t="s">
        <v>94</v>
      </c>
      <c r="F30" s="4" t="s">
        <v>112</v>
      </c>
      <c r="G30" s="4" t="s">
        <v>112</v>
      </c>
      <c r="H30" s="4" t="s">
        <v>210</v>
      </c>
      <c r="I30" s="4" t="s">
        <v>211</v>
      </c>
      <c r="J30" s="4" t="s">
        <v>225</v>
      </c>
      <c r="K30" s="4" t="s">
        <v>226</v>
      </c>
      <c r="L30" s="4" t="s">
        <v>210</v>
      </c>
      <c r="M30" s="4" t="s">
        <v>297</v>
      </c>
      <c r="N30" s="4" t="s">
        <v>365</v>
      </c>
      <c r="O30" s="4" t="s">
        <v>211</v>
      </c>
      <c r="P30" s="4" t="s">
        <v>210</v>
      </c>
      <c r="Q30" s="4" t="s">
        <v>210</v>
      </c>
      <c r="R30" s="4" t="s">
        <v>210</v>
      </c>
      <c r="S30" s="4" t="s">
        <v>210</v>
      </c>
      <c r="T30" s="4" t="s">
        <v>210</v>
      </c>
      <c r="U30" s="4" t="s">
        <v>210</v>
      </c>
      <c r="V30" s="4" t="s">
        <v>210</v>
      </c>
      <c r="W30" s="4" t="s">
        <v>210</v>
      </c>
      <c r="X30" s="4" t="s">
        <v>298</v>
      </c>
      <c r="Y30" s="4" t="s">
        <v>211</v>
      </c>
      <c r="Z30" s="4" t="s">
        <v>211</v>
      </c>
      <c r="AA30" s="4" t="s">
        <v>294</v>
      </c>
      <c r="AB30" s="4" t="s">
        <v>295</v>
      </c>
    </row>
    <row r="31" spans="1:28">
      <c r="A31" s="4" t="s">
        <v>157</v>
      </c>
      <c r="B31" s="4" t="s">
        <v>157</v>
      </c>
      <c r="C31" s="4" t="s">
        <v>211</v>
      </c>
      <c r="D31" s="4" t="s">
        <v>296</v>
      </c>
      <c r="E31" s="4" t="s">
        <v>94</v>
      </c>
      <c r="F31" s="4" t="s">
        <v>112</v>
      </c>
      <c r="G31" s="4" t="s">
        <v>112</v>
      </c>
      <c r="H31" s="4" t="s">
        <v>210</v>
      </c>
      <c r="I31" s="4" t="s">
        <v>211</v>
      </c>
      <c r="J31" s="4" t="s">
        <v>225</v>
      </c>
      <c r="K31" s="4" t="s">
        <v>226</v>
      </c>
      <c r="L31" s="4" t="s">
        <v>210</v>
      </c>
      <c r="M31" s="4" t="s">
        <v>297</v>
      </c>
      <c r="N31" s="4" t="s">
        <v>365</v>
      </c>
      <c r="O31" s="4" t="s">
        <v>211</v>
      </c>
      <c r="P31" s="4" t="s">
        <v>210</v>
      </c>
      <c r="Q31" s="4" t="s">
        <v>210</v>
      </c>
      <c r="R31" s="4" t="s">
        <v>210</v>
      </c>
      <c r="S31" s="4" t="s">
        <v>210</v>
      </c>
      <c r="T31" s="4" t="s">
        <v>210</v>
      </c>
      <c r="U31" s="4" t="s">
        <v>210</v>
      </c>
      <c r="V31" s="4" t="s">
        <v>210</v>
      </c>
      <c r="W31" s="4" t="s">
        <v>210</v>
      </c>
      <c r="X31" s="4" t="s">
        <v>298</v>
      </c>
      <c r="Y31" s="4" t="s">
        <v>211</v>
      </c>
      <c r="Z31" s="4" t="s">
        <v>211</v>
      </c>
      <c r="AA31" s="4" t="s">
        <v>294</v>
      </c>
      <c r="AB31" s="4" t="s">
        <v>295</v>
      </c>
    </row>
    <row r="32" spans="1:28">
      <c r="A32" s="4" t="s">
        <v>158</v>
      </c>
      <c r="B32" s="4" t="s">
        <v>158</v>
      </c>
      <c r="C32" s="4" t="s">
        <v>211</v>
      </c>
      <c r="D32" s="4" t="s">
        <v>296</v>
      </c>
      <c r="E32" s="4" t="s">
        <v>94</v>
      </c>
      <c r="F32" s="4" t="s">
        <v>112</v>
      </c>
      <c r="G32" s="4" t="s">
        <v>112</v>
      </c>
      <c r="H32" s="4" t="s">
        <v>210</v>
      </c>
      <c r="I32" s="4" t="s">
        <v>211</v>
      </c>
      <c r="J32" s="4" t="s">
        <v>225</v>
      </c>
      <c r="K32" s="4" t="s">
        <v>226</v>
      </c>
      <c r="L32" s="4" t="s">
        <v>210</v>
      </c>
      <c r="M32" s="4" t="s">
        <v>297</v>
      </c>
      <c r="N32" s="4" t="s">
        <v>365</v>
      </c>
      <c r="O32" s="4" t="s">
        <v>211</v>
      </c>
      <c r="P32" s="4" t="s">
        <v>210</v>
      </c>
      <c r="Q32" s="4" t="s">
        <v>210</v>
      </c>
      <c r="R32" s="4" t="s">
        <v>210</v>
      </c>
      <c r="S32" s="4" t="s">
        <v>210</v>
      </c>
      <c r="T32" s="4" t="s">
        <v>210</v>
      </c>
      <c r="U32" s="4" t="s">
        <v>210</v>
      </c>
      <c r="V32" s="4" t="s">
        <v>210</v>
      </c>
      <c r="W32" s="4" t="s">
        <v>210</v>
      </c>
      <c r="X32" s="4" t="s">
        <v>298</v>
      </c>
      <c r="Y32" s="4" t="s">
        <v>211</v>
      </c>
      <c r="Z32" s="4" t="s">
        <v>211</v>
      </c>
      <c r="AA32" s="4" t="s">
        <v>294</v>
      </c>
      <c r="AB32" s="4" t="s">
        <v>295</v>
      </c>
    </row>
    <row r="33" spans="1:28">
      <c r="A33" s="4" t="s">
        <v>159</v>
      </c>
      <c r="B33" s="4" t="s">
        <v>159</v>
      </c>
      <c r="C33" s="4" t="s">
        <v>211</v>
      </c>
      <c r="D33" s="4" t="s">
        <v>296</v>
      </c>
      <c r="E33" s="4" t="s">
        <v>94</v>
      </c>
      <c r="F33" s="4" t="s">
        <v>112</v>
      </c>
      <c r="G33" s="4" t="s">
        <v>112</v>
      </c>
      <c r="H33" s="4" t="s">
        <v>210</v>
      </c>
      <c r="I33" s="4" t="s">
        <v>211</v>
      </c>
      <c r="J33" s="4" t="s">
        <v>243</v>
      </c>
      <c r="K33" s="4" t="s">
        <v>244</v>
      </c>
      <c r="L33" s="4" t="s">
        <v>210</v>
      </c>
      <c r="M33" s="4" t="s">
        <v>297</v>
      </c>
      <c r="N33" s="4" t="s">
        <v>366</v>
      </c>
      <c r="O33" s="4" t="s">
        <v>211</v>
      </c>
      <c r="P33" s="4" t="s">
        <v>210</v>
      </c>
      <c r="Q33" s="4" t="s">
        <v>210</v>
      </c>
      <c r="R33" s="4" t="s">
        <v>210</v>
      </c>
      <c r="S33" s="4" t="s">
        <v>210</v>
      </c>
      <c r="T33" s="4" t="s">
        <v>210</v>
      </c>
      <c r="U33" s="4" t="s">
        <v>210</v>
      </c>
      <c r="V33" s="4" t="s">
        <v>210</v>
      </c>
      <c r="W33" s="4" t="s">
        <v>210</v>
      </c>
      <c r="X33" s="4" t="s">
        <v>298</v>
      </c>
      <c r="Y33" s="4" t="s">
        <v>211</v>
      </c>
      <c r="Z33" s="4" t="s">
        <v>211</v>
      </c>
      <c r="AA33" s="4" t="s">
        <v>294</v>
      </c>
      <c r="AB33" s="4" t="s">
        <v>295</v>
      </c>
    </row>
    <row r="34" spans="1:28">
      <c r="A34" s="4" t="s">
        <v>160</v>
      </c>
      <c r="B34" s="4" t="s">
        <v>160</v>
      </c>
      <c r="C34" s="4" t="s">
        <v>211</v>
      </c>
      <c r="D34" s="4" t="s">
        <v>296</v>
      </c>
      <c r="E34" s="4" t="s">
        <v>94</v>
      </c>
      <c r="F34" s="4" t="s">
        <v>112</v>
      </c>
      <c r="G34" s="4" t="s">
        <v>112</v>
      </c>
      <c r="H34" s="4" t="s">
        <v>210</v>
      </c>
      <c r="I34" s="4" t="s">
        <v>211</v>
      </c>
      <c r="J34" s="4" t="s">
        <v>221</v>
      </c>
      <c r="K34" s="4" t="s">
        <v>222</v>
      </c>
      <c r="L34" s="4" t="s">
        <v>210</v>
      </c>
      <c r="M34" s="4" t="s">
        <v>297</v>
      </c>
      <c r="N34" s="4" t="s">
        <v>367</v>
      </c>
      <c r="O34" s="4" t="s">
        <v>211</v>
      </c>
      <c r="P34" s="4" t="s">
        <v>210</v>
      </c>
      <c r="Q34" s="4" t="s">
        <v>210</v>
      </c>
      <c r="R34" s="4" t="s">
        <v>210</v>
      </c>
      <c r="S34" s="4" t="s">
        <v>210</v>
      </c>
      <c r="T34" s="4" t="s">
        <v>210</v>
      </c>
      <c r="U34" s="4" t="s">
        <v>210</v>
      </c>
      <c r="V34" s="4" t="s">
        <v>210</v>
      </c>
      <c r="W34" s="4" t="s">
        <v>210</v>
      </c>
      <c r="X34" s="4" t="s">
        <v>298</v>
      </c>
      <c r="Y34" s="4" t="s">
        <v>211</v>
      </c>
      <c r="Z34" s="4" t="s">
        <v>211</v>
      </c>
      <c r="AA34" s="4" t="s">
        <v>294</v>
      </c>
      <c r="AB34" s="4" t="s">
        <v>295</v>
      </c>
    </row>
    <row r="35" spans="1:28">
      <c r="A35" s="4" t="s">
        <v>161</v>
      </c>
      <c r="B35" s="4" t="s">
        <v>161</v>
      </c>
      <c r="C35" s="4" t="s">
        <v>211</v>
      </c>
      <c r="D35" s="4" t="s">
        <v>296</v>
      </c>
      <c r="E35" s="4" t="s">
        <v>94</v>
      </c>
      <c r="F35" s="4" t="s">
        <v>112</v>
      </c>
      <c r="G35" s="4" t="s">
        <v>112</v>
      </c>
      <c r="H35" s="4" t="s">
        <v>210</v>
      </c>
      <c r="I35" s="4" t="s">
        <v>211</v>
      </c>
      <c r="J35" s="4" t="s">
        <v>225</v>
      </c>
      <c r="K35" s="4" t="s">
        <v>226</v>
      </c>
      <c r="L35" s="4" t="s">
        <v>210</v>
      </c>
      <c r="M35" s="4" t="s">
        <v>297</v>
      </c>
      <c r="N35" s="4" t="s">
        <v>365</v>
      </c>
      <c r="O35" s="4" t="s">
        <v>211</v>
      </c>
      <c r="P35" s="4" t="s">
        <v>210</v>
      </c>
      <c r="Q35" s="4" t="s">
        <v>210</v>
      </c>
      <c r="R35" s="4" t="s">
        <v>210</v>
      </c>
      <c r="S35" s="4" t="s">
        <v>210</v>
      </c>
      <c r="T35" s="4" t="s">
        <v>210</v>
      </c>
      <c r="U35" s="4" t="s">
        <v>210</v>
      </c>
      <c r="V35" s="4" t="s">
        <v>210</v>
      </c>
      <c r="W35" s="4" t="s">
        <v>210</v>
      </c>
      <c r="X35" s="4" t="s">
        <v>298</v>
      </c>
      <c r="Y35" s="4" t="s">
        <v>211</v>
      </c>
      <c r="Z35" s="4" t="s">
        <v>211</v>
      </c>
      <c r="AA35" s="4" t="s">
        <v>294</v>
      </c>
      <c r="AB35" s="4" t="s">
        <v>295</v>
      </c>
    </row>
    <row r="36" spans="1:28">
      <c r="A36" s="4" t="s">
        <v>162</v>
      </c>
      <c r="B36" s="4" t="s">
        <v>162</v>
      </c>
      <c r="C36" s="4" t="s">
        <v>211</v>
      </c>
      <c r="D36" s="4" t="s">
        <v>296</v>
      </c>
      <c r="E36" s="4" t="s">
        <v>94</v>
      </c>
      <c r="F36" s="4" t="s">
        <v>112</v>
      </c>
      <c r="G36" s="4" t="s">
        <v>112</v>
      </c>
      <c r="H36" s="4" t="s">
        <v>210</v>
      </c>
      <c r="I36" s="4" t="s">
        <v>211</v>
      </c>
      <c r="J36" s="4" t="s">
        <v>225</v>
      </c>
      <c r="K36" s="4" t="s">
        <v>226</v>
      </c>
      <c r="L36" s="4" t="s">
        <v>210</v>
      </c>
      <c r="M36" s="4" t="s">
        <v>297</v>
      </c>
      <c r="N36" s="4" t="s">
        <v>368</v>
      </c>
      <c r="O36" s="4" t="s">
        <v>211</v>
      </c>
      <c r="P36" s="4" t="s">
        <v>210</v>
      </c>
      <c r="Q36" s="4" t="s">
        <v>210</v>
      </c>
      <c r="R36" s="4" t="s">
        <v>210</v>
      </c>
      <c r="S36" s="4" t="s">
        <v>210</v>
      </c>
      <c r="T36" s="4" t="s">
        <v>210</v>
      </c>
      <c r="U36" s="4" t="s">
        <v>210</v>
      </c>
      <c r="V36" s="4" t="s">
        <v>210</v>
      </c>
      <c r="W36" s="4" t="s">
        <v>210</v>
      </c>
      <c r="X36" s="4" t="s">
        <v>298</v>
      </c>
      <c r="Y36" s="4" t="s">
        <v>211</v>
      </c>
      <c r="Z36" s="4" t="s">
        <v>211</v>
      </c>
      <c r="AA36" s="4" t="s">
        <v>294</v>
      </c>
      <c r="AB36" s="4" t="s">
        <v>295</v>
      </c>
    </row>
    <row r="37" spans="1:28">
      <c r="A37" s="4" t="s">
        <v>163</v>
      </c>
      <c r="B37" s="4" t="s">
        <v>163</v>
      </c>
      <c r="C37" s="4" t="s">
        <v>211</v>
      </c>
      <c r="D37" s="4" t="s">
        <v>296</v>
      </c>
      <c r="E37" s="4" t="s">
        <v>94</v>
      </c>
      <c r="F37" s="4" t="s">
        <v>112</v>
      </c>
      <c r="G37" s="4" t="s">
        <v>112</v>
      </c>
      <c r="H37" s="4" t="s">
        <v>210</v>
      </c>
      <c r="I37" s="4" t="s">
        <v>211</v>
      </c>
      <c r="J37" s="4" t="s">
        <v>225</v>
      </c>
      <c r="K37" s="4" t="s">
        <v>226</v>
      </c>
      <c r="L37" s="4" t="s">
        <v>210</v>
      </c>
      <c r="M37" s="4" t="s">
        <v>297</v>
      </c>
      <c r="N37" s="4" t="s">
        <v>369</v>
      </c>
      <c r="O37" s="4" t="s">
        <v>211</v>
      </c>
      <c r="P37" s="4" t="s">
        <v>210</v>
      </c>
      <c r="Q37" s="4" t="s">
        <v>210</v>
      </c>
      <c r="R37" s="4" t="s">
        <v>210</v>
      </c>
      <c r="S37" s="4" t="s">
        <v>210</v>
      </c>
      <c r="T37" s="4" t="s">
        <v>210</v>
      </c>
      <c r="U37" s="4" t="s">
        <v>210</v>
      </c>
      <c r="V37" s="4" t="s">
        <v>210</v>
      </c>
      <c r="W37" s="4" t="s">
        <v>210</v>
      </c>
      <c r="X37" s="4" t="s">
        <v>298</v>
      </c>
      <c r="Y37" s="4" t="s">
        <v>211</v>
      </c>
      <c r="Z37" s="4" t="s">
        <v>211</v>
      </c>
      <c r="AA37" s="4" t="s">
        <v>294</v>
      </c>
      <c r="AB37" s="4" t="s">
        <v>295</v>
      </c>
    </row>
    <row r="38" spans="1:28">
      <c r="A38" s="4" t="s">
        <v>164</v>
      </c>
      <c r="B38" s="4" t="s">
        <v>164</v>
      </c>
      <c r="C38" s="4" t="s">
        <v>211</v>
      </c>
      <c r="D38" s="4" t="s">
        <v>296</v>
      </c>
      <c r="E38" s="4" t="s">
        <v>94</v>
      </c>
      <c r="F38" s="4" t="s">
        <v>112</v>
      </c>
      <c r="G38" s="4" t="s">
        <v>112</v>
      </c>
      <c r="H38" s="4" t="s">
        <v>210</v>
      </c>
      <c r="I38" s="4" t="s">
        <v>211</v>
      </c>
      <c r="J38" s="4" t="s">
        <v>250</v>
      </c>
      <c r="K38" s="4" t="s">
        <v>251</v>
      </c>
      <c r="L38" s="4" t="s">
        <v>210</v>
      </c>
      <c r="M38" s="4" t="s">
        <v>297</v>
      </c>
      <c r="N38" s="4" t="s">
        <v>370</v>
      </c>
      <c r="O38" s="4" t="s">
        <v>211</v>
      </c>
      <c r="P38" s="4" t="s">
        <v>210</v>
      </c>
      <c r="Q38" s="4" t="s">
        <v>210</v>
      </c>
      <c r="R38" s="4" t="s">
        <v>210</v>
      </c>
      <c r="S38" s="4" t="s">
        <v>210</v>
      </c>
      <c r="T38" s="4" t="s">
        <v>210</v>
      </c>
      <c r="U38" s="4" t="s">
        <v>210</v>
      </c>
      <c r="V38" s="4" t="s">
        <v>210</v>
      </c>
      <c r="W38" s="4" t="s">
        <v>210</v>
      </c>
      <c r="X38" s="4" t="s">
        <v>298</v>
      </c>
      <c r="Y38" s="4" t="s">
        <v>211</v>
      </c>
      <c r="Z38" s="4" t="s">
        <v>211</v>
      </c>
      <c r="AA38" s="4" t="s">
        <v>294</v>
      </c>
      <c r="AB38" s="4" t="s">
        <v>295</v>
      </c>
    </row>
    <row r="39" spans="1:28">
      <c r="A39" s="4" t="s">
        <v>165</v>
      </c>
      <c r="B39" s="4" t="s">
        <v>165</v>
      </c>
      <c r="C39" s="4" t="s">
        <v>211</v>
      </c>
      <c r="D39" s="4" t="s">
        <v>296</v>
      </c>
      <c r="E39" s="4" t="s">
        <v>94</v>
      </c>
      <c r="F39" s="4" t="s">
        <v>112</v>
      </c>
      <c r="G39" s="4" t="s">
        <v>112</v>
      </c>
      <c r="H39" s="4" t="s">
        <v>210</v>
      </c>
      <c r="I39" s="4" t="s">
        <v>211</v>
      </c>
      <c r="J39" s="4" t="s">
        <v>221</v>
      </c>
      <c r="K39" s="4" t="s">
        <v>222</v>
      </c>
      <c r="L39" s="4" t="s">
        <v>210</v>
      </c>
      <c r="M39" s="4" t="s">
        <v>297</v>
      </c>
      <c r="N39" s="4" t="s">
        <v>367</v>
      </c>
      <c r="O39" s="4" t="s">
        <v>211</v>
      </c>
      <c r="P39" s="4" t="s">
        <v>210</v>
      </c>
      <c r="Q39" s="4" t="s">
        <v>210</v>
      </c>
      <c r="R39" s="4" t="s">
        <v>210</v>
      </c>
      <c r="S39" s="4" t="s">
        <v>210</v>
      </c>
      <c r="T39" s="4" t="s">
        <v>210</v>
      </c>
      <c r="U39" s="4" t="s">
        <v>210</v>
      </c>
      <c r="V39" s="4" t="s">
        <v>210</v>
      </c>
      <c r="W39" s="4" t="s">
        <v>210</v>
      </c>
      <c r="X39" s="4" t="s">
        <v>298</v>
      </c>
      <c r="Y39" s="4" t="s">
        <v>211</v>
      </c>
      <c r="Z39" s="4" t="s">
        <v>211</v>
      </c>
      <c r="AA39" s="4" t="s">
        <v>294</v>
      </c>
      <c r="AB39" s="4" t="s">
        <v>295</v>
      </c>
    </row>
    <row r="40" spans="1:28">
      <c r="A40" s="4" t="s">
        <v>166</v>
      </c>
      <c r="B40" s="4" t="s">
        <v>166</v>
      </c>
      <c r="C40" s="4" t="s">
        <v>211</v>
      </c>
      <c r="D40" s="4" t="s">
        <v>296</v>
      </c>
      <c r="E40" s="4" t="s">
        <v>94</v>
      </c>
      <c r="F40" s="4" t="s">
        <v>112</v>
      </c>
      <c r="G40" s="4" t="s">
        <v>112</v>
      </c>
      <c r="H40" s="4" t="s">
        <v>210</v>
      </c>
      <c r="I40" s="4" t="s">
        <v>211</v>
      </c>
      <c r="J40" s="4" t="s">
        <v>221</v>
      </c>
      <c r="K40" s="4" t="s">
        <v>222</v>
      </c>
      <c r="L40" s="4" t="s">
        <v>210</v>
      </c>
      <c r="M40" s="4" t="s">
        <v>297</v>
      </c>
      <c r="N40" s="4" t="s">
        <v>367</v>
      </c>
      <c r="O40" s="4" t="s">
        <v>211</v>
      </c>
      <c r="P40" s="4" t="s">
        <v>210</v>
      </c>
      <c r="Q40" s="4" t="s">
        <v>210</v>
      </c>
      <c r="R40" s="4" t="s">
        <v>210</v>
      </c>
      <c r="S40" s="4" t="s">
        <v>210</v>
      </c>
      <c r="T40" s="4" t="s">
        <v>210</v>
      </c>
      <c r="U40" s="4" t="s">
        <v>210</v>
      </c>
      <c r="V40" s="4" t="s">
        <v>210</v>
      </c>
      <c r="W40" s="4" t="s">
        <v>210</v>
      </c>
      <c r="X40" s="4" t="s">
        <v>298</v>
      </c>
      <c r="Y40" s="4" t="s">
        <v>211</v>
      </c>
      <c r="Z40" s="4" t="s">
        <v>211</v>
      </c>
      <c r="AA40" s="4" t="s">
        <v>294</v>
      </c>
      <c r="AB40" s="4" t="s">
        <v>295</v>
      </c>
    </row>
    <row r="41" spans="1:28">
      <c r="A41" s="4" t="s">
        <v>167</v>
      </c>
      <c r="B41" s="4" t="s">
        <v>167</v>
      </c>
      <c r="C41" s="4" t="s">
        <v>211</v>
      </c>
      <c r="D41" s="4" t="s">
        <v>296</v>
      </c>
      <c r="E41" s="4" t="s">
        <v>94</v>
      </c>
      <c r="F41" s="4" t="s">
        <v>112</v>
      </c>
      <c r="G41" s="4" t="s">
        <v>112</v>
      </c>
      <c r="H41" s="4" t="s">
        <v>210</v>
      </c>
      <c r="I41" s="4" t="s">
        <v>211</v>
      </c>
      <c r="J41" s="4" t="s">
        <v>225</v>
      </c>
      <c r="K41" s="4" t="s">
        <v>226</v>
      </c>
      <c r="L41" s="4" t="s">
        <v>210</v>
      </c>
      <c r="M41" s="4" t="s">
        <v>297</v>
      </c>
      <c r="N41" s="4" t="s">
        <v>365</v>
      </c>
      <c r="O41" s="4" t="s">
        <v>211</v>
      </c>
      <c r="P41" s="4" t="s">
        <v>210</v>
      </c>
      <c r="Q41" s="4" t="s">
        <v>210</v>
      </c>
      <c r="R41" s="4" t="s">
        <v>210</v>
      </c>
      <c r="S41" s="4" t="s">
        <v>210</v>
      </c>
      <c r="T41" s="4" t="s">
        <v>210</v>
      </c>
      <c r="U41" s="4" t="s">
        <v>210</v>
      </c>
      <c r="V41" s="4" t="s">
        <v>210</v>
      </c>
      <c r="W41" s="4" t="s">
        <v>210</v>
      </c>
      <c r="X41" s="4" t="s">
        <v>298</v>
      </c>
      <c r="Y41" s="4" t="s">
        <v>211</v>
      </c>
      <c r="Z41" s="4" t="s">
        <v>211</v>
      </c>
      <c r="AA41" s="4" t="s">
        <v>294</v>
      </c>
      <c r="AB41" s="4" t="s">
        <v>295</v>
      </c>
    </row>
    <row r="42" spans="1:28">
      <c r="A42" s="4" t="s">
        <v>168</v>
      </c>
      <c r="B42" s="4" t="s">
        <v>168</v>
      </c>
      <c r="C42" s="4" t="s">
        <v>211</v>
      </c>
      <c r="D42" s="4" t="s">
        <v>296</v>
      </c>
      <c r="E42" s="4" t="s">
        <v>94</v>
      </c>
      <c r="F42" s="4" t="s">
        <v>112</v>
      </c>
      <c r="G42" s="4" t="s">
        <v>112</v>
      </c>
      <c r="H42" s="4" t="s">
        <v>210</v>
      </c>
      <c r="I42" s="4" t="s">
        <v>211</v>
      </c>
      <c r="J42" s="4" t="s">
        <v>225</v>
      </c>
      <c r="K42" s="4" t="s">
        <v>226</v>
      </c>
      <c r="L42" s="4" t="s">
        <v>210</v>
      </c>
      <c r="M42" s="4" t="s">
        <v>297</v>
      </c>
      <c r="N42" s="4" t="s">
        <v>365</v>
      </c>
      <c r="O42" s="4" t="s">
        <v>211</v>
      </c>
      <c r="P42" s="4" t="s">
        <v>210</v>
      </c>
      <c r="Q42" s="4" t="s">
        <v>210</v>
      </c>
      <c r="R42" s="4" t="s">
        <v>210</v>
      </c>
      <c r="S42" s="4" t="s">
        <v>210</v>
      </c>
      <c r="T42" s="4" t="s">
        <v>210</v>
      </c>
      <c r="U42" s="4" t="s">
        <v>210</v>
      </c>
      <c r="V42" s="4" t="s">
        <v>210</v>
      </c>
      <c r="W42" s="4" t="s">
        <v>210</v>
      </c>
      <c r="X42" s="4" t="s">
        <v>298</v>
      </c>
      <c r="Y42" s="4" t="s">
        <v>211</v>
      </c>
      <c r="Z42" s="4" t="s">
        <v>211</v>
      </c>
      <c r="AA42" s="4" t="s">
        <v>294</v>
      </c>
      <c r="AB42" s="4" t="s">
        <v>295</v>
      </c>
    </row>
    <row r="43" spans="1:28">
      <c r="A43" s="4" t="s">
        <v>169</v>
      </c>
      <c r="B43" s="4" t="s">
        <v>169</v>
      </c>
      <c r="C43" s="4" t="s">
        <v>211</v>
      </c>
      <c r="D43" s="4" t="s">
        <v>296</v>
      </c>
      <c r="E43" s="4" t="s">
        <v>94</v>
      </c>
      <c r="F43" s="4" t="s">
        <v>112</v>
      </c>
      <c r="G43" s="4" t="s">
        <v>112</v>
      </c>
      <c r="H43" s="4" t="s">
        <v>210</v>
      </c>
      <c r="I43" s="4" t="s">
        <v>211</v>
      </c>
      <c r="J43" s="4" t="s">
        <v>250</v>
      </c>
      <c r="K43" s="4" t="s">
        <v>251</v>
      </c>
      <c r="L43" s="4" t="s">
        <v>210</v>
      </c>
      <c r="M43" s="4" t="s">
        <v>297</v>
      </c>
      <c r="N43" s="4" t="s">
        <v>370</v>
      </c>
      <c r="O43" s="4" t="s">
        <v>211</v>
      </c>
      <c r="P43" s="4" t="s">
        <v>210</v>
      </c>
      <c r="Q43" s="4" t="s">
        <v>210</v>
      </c>
      <c r="R43" s="4" t="s">
        <v>210</v>
      </c>
      <c r="S43" s="4" t="s">
        <v>210</v>
      </c>
      <c r="T43" s="4" t="s">
        <v>210</v>
      </c>
      <c r="U43" s="4" t="s">
        <v>210</v>
      </c>
      <c r="V43" s="4" t="s">
        <v>210</v>
      </c>
      <c r="W43" s="4" t="s">
        <v>210</v>
      </c>
      <c r="X43" s="4" t="s">
        <v>298</v>
      </c>
      <c r="Y43" s="4" t="s">
        <v>211</v>
      </c>
      <c r="Z43" s="4" t="s">
        <v>211</v>
      </c>
      <c r="AA43" s="4" t="s">
        <v>294</v>
      </c>
      <c r="AB43" s="4" t="s">
        <v>295</v>
      </c>
    </row>
    <row r="44" spans="1:28">
      <c r="A44" s="4" t="s">
        <v>170</v>
      </c>
      <c r="B44" s="4" t="s">
        <v>170</v>
      </c>
      <c r="C44" s="4" t="s">
        <v>211</v>
      </c>
      <c r="D44" s="4" t="s">
        <v>296</v>
      </c>
      <c r="E44" s="4" t="s">
        <v>94</v>
      </c>
      <c r="F44" s="4" t="s">
        <v>112</v>
      </c>
      <c r="G44" s="4" t="s">
        <v>112</v>
      </c>
      <c r="H44" s="4" t="s">
        <v>210</v>
      </c>
      <c r="I44" s="4" t="s">
        <v>211</v>
      </c>
      <c r="J44" s="4" t="s">
        <v>225</v>
      </c>
      <c r="K44" s="4" t="s">
        <v>226</v>
      </c>
      <c r="L44" s="4" t="s">
        <v>210</v>
      </c>
      <c r="M44" s="4" t="s">
        <v>297</v>
      </c>
      <c r="N44" s="4" t="s">
        <v>371</v>
      </c>
      <c r="O44" s="4" t="s">
        <v>211</v>
      </c>
      <c r="P44" s="4" t="s">
        <v>210</v>
      </c>
      <c r="Q44" s="4" t="s">
        <v>210</v>
      </c>
      <c r="R44" s="4" t="s">
        <v>210</v>
      </c>
      <c r="S44" s="4" t="s">
        <v>210</v>
      </c>
      <c r="T44" s="4" t="s">
        <v>210</v>
      </c>
      <c r="U44" s="4" t="s">
        <v>210</v>
      </c>
      <c r="V44" s="4" t="s">
        <v>210</v>
      </c>
      <c r="W44" s="4" t="s">
        <v>210</v>
      </c>
      <c r="X44" s="4" t="s">
        <v>298</v>
      </c>
      <c r="Y44" s="4" t="s">
        <v>211</v>
      </c>
      <c r="Z44" s="4" t="s">
        <v>211</v>
      </c>
      <c r="AA44" s="4" t="s">
        <v>294</v>
      </c>
      <c r="AB44" s="4" t="s">
        <v>295</v>
      </c>
    </row>
    <row r="45" spans="1:28">
      <c r="A45" s="4" t="s">
        <v>171</v>
      </c>
      <c r="B45" s="4" t="s">
        <v>171</v>
      </c>
      <c r="C45" s="4" t="s">
        <v>211</v>
      </c>
      <c r="D45" s="4" t="s">
        <v>296</v>
      </c>
      <c r="E45" s="4" t="s">
        <v>94</v>
      </c>
      <c r="F45" s="4" t="s">
        <v>112</v>
      </c>
      <c r="G45" s="4" t="s">
        <v>112</v>
      </c>
      <c r="H45" s="4" t="s">
        <v>210</v>
      </c>
      <c r="I45" s="4" t="s">
        <v>211</v>
      </c>
      <c r="J45" s="4" t="s">
        <v>225</v>
      </c>
      <c r="K45" s="4" t="s">
        <v>226</v>
      </c>
      <c r="L45" s="4" t="s">
        <v>210</v>
      </c>
      <c r="M45" s="4" t="s">
        <v>297</v>
      </c>
      <c r="N45" s="4" t="s">
        <v>372</v>
      </c>
      <c r="O45" s="4" t="s">
        <v>211</v>
      </c>
      <c r="P45" s="4" t="s">
        <v>210</v>
      </c>
      <c r="Q45" s="4" t="s">
        <v>210</v>
      </c>
      <c r="R45" s="4" t="s">
        <v>210</v>
      </c>
      <c r="S45" s="4" t="s">
        <v>210</v>
      </c>
      <c r="T45" s="4" t="s">
        <v>210</v>
      </c>
      <c r="U45" s="4" t="s">
        <v>210</v>
      </c>
      <c r="V45" s="4" t="s">
        <v>210</v>
      </c>
      <c r="W45" s="4" t="s">
        <v>210</v>
      </c>
      <c r="X45" s="4" t="s">
        <v>298</v>
      </c>
      <c r="Y45" s="4" t="s">
        <v>211</v>
      </c>
      <c r="Z45" s="4" t="s">
        <v>211</v>
      </c>
      <c r="AA45" s="4" t="s">
        <v>294</v>
      </c>
      <c r="AB45" s="4" t="s">
        <v>295</v>
      </c>
    </row>
    <row r="46" spans="1:28">
      <c r="A46" s="4" t="s">
        <v>172</v>
      </c>
      <c r="B46" s="4" t="s">
        <v>172</v>
      </c>
      <c r="C46" s="4" t="s">
        <v>211</v>
      </c>
      <c r="D46" s="4" t="s">
        <v>296</v>
      </c>
      <c r="E46" s="4" t="s">
        <v>94</v>
      </c>
      <c r="F46" s="4" t="s">
        <v>112</v>
      </c>
      <c r="G46" s="4" t="s">
        <v>112</v>
      </c>
      <c r="H46" s="4" t="s">
        <v>210</v>
      </c>
      <c r="I46" s="4" t="s">
        <v>211</v>
      </c>
      <c r="J46" s="4" t="s">
        <v>225</v>
      </c>
      <c r="K46" s="4" t="s">
        <v>226</v>
      </c>
      <c r="L46" s="4" t="s">
        <v>210</v>
      </c>
      <c r="M46" s="4" t="s">
        <v>297</v>
      </c>
      <c r="N46" s="4" t="s">
        <v>373</v>
      </c>
      <c r="O46" s="4" t="s">
        <v>211</v>
      </c>
      <c r="P46" s="4" t="s">
        <v>210</v>
      </c>
      <c r="Q46" s="4" t="s">
        <v>210</v>
      </c>
      <c r="R46" s="4" t="s">
        <v>210</v>
      </c>
      <c r="S46" s="4" t="s">
        <v>210</v>
      </c>
      <c r="T46" s="4" t="s">
        <v>210</v>
      </c>
      <c r="U46" s="4" t="s">
        <v>210</v>
      </c>
      <c r="V46" s="4" t="s">
        <v>210</v>
      </c>
      <c r="W46" s="4" t="s">
        <v>210</v>
      </c>
      <c r="X46" s="4" t="s">
        <v>298</v>
      </c>
      <c r="Y46" s="4" t="s">
        <v>211</v>
      </c>
      <c r="Z46" s="4" t="s">
        <v>211</v>
      </c>
      <c r="AA46" s="4" t="s">
        <v>294</v>
      </c>
      <c r="AB46" s="4" t="s">
        <v>295</v>
      </c>
    </row>
    <row r="47" spans="1:28">
      <c r="A47" s="4" t="s">
        <v>173</v>
      </c>
      <c r="B47" s="4" t="s">
        <v>173</v>
      </c>
      <c r="C47" s="4" t="s">
        <v>211</v>
      </c>
      <c r="D47" s="4" t="s">
        <v>296</v>
      </c>
      <c r="E47" s="4" t="s">
        <v>94</v>
      </c>
      <c r="F47" s="4" t="s">
        <v>112</v>
      </c>
      <c r="G47" s="4" t="s">
        <v>112</v>
      </c>
      <c r="H47" s="4" t="s">
        <v>210</v>
      </c>
      <c r="I47" s="4" t="s">
        <v>211</v>
      </c>
      <c r="J47" s="4" t="s">
        <v>225</v>
      </c>
      <c r="K47" s="4" t="s">
        <v>226</v>
      </c>
      <c r="L47" s="4" t="s">
        <v>210</v>
      </c>
      <c r="M47" s="4" t="s">
        <v>297</v>
      </c>
      <c r="N47" s="4" t="s">
        <v>374</v>
      </c>
      <c r="O47" s="4" t="s">
        <v>211</v>
      </c>
      <c r="P47" s="4" t="s">
        <v>210</v>
      </c>
      <c r="Q47" s="4" t="s">
        <v>210</v>
      </c>
      <c r="R47" s="4" t="s">
        <v>210</v>
      </c>
      <c r="S47" s="4" t="s">
        <v>210</v>
      </c>
      <c r="T47" s="4" t="s">
        <v>210</v>
      </c>
      <c r="U47" s="4" t="s">
        <v>210</v>
      </c>
      <c r="V47" s="4" t="s">
        <v>210</v>
      </c>
      <c r="W47" s="4" t="s">
        <v>210</v>
      </c>
      <c r="X47" s="4" t="s">
        <v>298</v>
      </c>
      <c r="Y47" s="4" t="s">
        <v>211</v>
      </c>
      <c r="Z47" s="4" t="s">
        <v>211</v>
      </c>
      <c r="AA47" s="4" t="s">
        <v>294</v>
      </c>
      <c r="AB47" s="4" t="s">
        <v>295</v>
      </c>
    </row>
    <row r="48" spans="1:28">
      <c r="A48" s="4" t="s">
        <v>174</v>
      </c>
      <c r="B48" s="4" t="s">
        <v>174</v>
      </c>
      <c r="C48" s="4" t="s">
        <v>211</v>
      </c>
      <c r="D48" s="4" t="s">
        <v>296</v>
      </c>
      <c r="E48" s="4" t="s">
        <v>94</v>
      </c>
      <c r="F48" s="4" t="s">
        <v>112</v>
      </c>
      <c r="G48" s="4" t="s">
        <v>112</v>
      </c>
      <c r="H48" s="4" t="s">
        <v>210</v>
      </c>
      <c r="I48" s="4" t="s">
        <v>211</v>
      </c>
      <c r="J48" s="4" t="s">
        <v>375</v>
      </c>
      <c r="K48" s="4" t="s">
        <v>376</v>
      </c>
      <c r="L48" s="4" t="s">
        <v>210</v>
      </c>
      <c r="M48" s="4" t="s">
        <v>297</v>
      </c>
      <c r="N48" s="4" t="s">
        <v>377</v>
      </c>
      <c r="O48" s="4" t="s">
        <v>211</v>
      </c>
      <c r="P48" s="4" t="s">
        <v>210</v>
      </c>
      <c r="Q48" s="4" t="s">
        <v>210</v>
      </c>
      <c r="R48" s="4" t="s">
        <v>210</v>
      </c>
      <c r="S48" s="4" t="s">
        <v>210</v>
      </c>
      <c r="T48" s="4" t="s">
        <v>210</v>
      </c>
      <c r="U48" s="4" t="s">
        <v>210</v>
      </c>
      <c r="V48" s="4" t="s">
        <v>210</v>
      </c>
      <c r="W48" s="4" t="s">
        <v>210</v>
      </c>
      <c r="X48" s="4" t="s">
        <v>298</v>
      </c>
      <c r="Y48" s="4" t="s">
        <v>211</v>
      </c>
      <c r="Z48" s="4" t="s">
        <v>211</v>
      </c>
      <c r="AA48" s="4" t="s">
        <v>294</v>
      </c>
      <c r="AB48" s="4" t="s">
        <v>295</v>
      </c>
    </row>
    <row r="49" spans="1:28">
      <c r="A49" s="4" t="s">
        <v>175</v>
      </c>
      <c r="B49" s="4" t="s">
        <v>173</v>
      </c>
      <c r="C49" s="4" t="s">
        <v>173</v>
      </c>
      <c r="D49" s="4" t="s">
        <v>378</v>
      </c>
      <c r="E49" s="4" t="s">
        <v>109</v>
      </c>
      <c r="F49" s="4" t="s">
        <v>204</v>
      </c>
      <c r="G49" s="4" t="s">
        <v>110</v>
      </c>
      <c r="H49" s="4" t="s">
        <v>228</v>
      </c>
      <c r="I49" s="4" t="s">
        <v>206</v>
      </c>
      <c r="J49" s="4" t="s">
        <v>379</v>
      </c>
      <c r="K49" s="4" t="s">
        <v>380</v>
      </c>
      <c r="L49" s="4" t="s">
        <v>283</v>
      </c>
      <c r="M49" s="4" t="s">
        <v>381</v>
      </c>
      <c r="N49" s="4" t="s">
        <v>382</v>
      </c>
      <c r="O49" s="4" t="s">
        <v>383</v>
      </c>
      <c r="P49" s="4" t="s">
        <v>384</v>
      </c>
      <c r="Q49" s="4" t="s">
        <v>385</v>
      </c>
      <c r="R49" s="4" t="s">
        <v>325</v>
      </c>
      <c r="S49" s="4" t="s">
        <v>386</v>
      </c>
      <c r="T49" s="4" t="s">
        <v>210</v>
      </c>
      <c r="U49" s="4" t="s">
        <v>315</v>
      </c>
      <c r="V49" s="4" t="s">
        <v>316</v>
      </c>
      <c r="W49" s="4" t="s">
        <v>225</v>
      </c>
      <c r="X49" s="4" t="s">
        <v>387</v>
      </c>
      <c r="Y49" s="4" t="s">
        <v>388</v>
      </c>
      <c r="Z49" s="4" t="s">
        <v>389</v>
      </c>
      <c r="AA49" s="4" t="s">
        <v>294</v>
      </c>
      <c r="AB49" s="4" t="s">
        <v>295</v>
      </c>
    </row>
    <row r="50" spans="1:28">
      <c r="A50" s="4" t="s">
        <v>175</v>
      </c>
      <c r="B50" s="4" t="s">
        <v>175</v>
      </c>
      <c r="C50" s="4" t="s">
        <v>211</v>
      </c>
      <c r="D50" s="4" t="s">
        <v>296</v>
      </c>
      <c r="E50" s="4" t="s">
        <v>94</v>
      </c>
      <c r="F50" s="4" t="s">
        <v>112</v>
      </c>
      <c r="G50" s="4" t="s">
        <v>112</v>
      </c>
      <c r="H50" s="4" t="s">
        <v>210</v>
      </c>
      <c r="I50" s="4" t="s">
        <v>211</v>
      </c>
      <c r="J50" s="4" t="s">
        <v>221</v>
      </c>
      <c r="K50" s="4" t="s">
        <v>222</v>
      </c>
      <c r="L50" s="4" t="s">
        <v>210</v>
      </c>
      <c r="M50" s="4" t="s">
        <v>297</v>
      </c>
      <c r="N50" s="4" t="s">
        <v>367</v>
      </c>
      <c r="O50" s="4" t="s">
        <v>211</v>
      </c>
      <c r="P50" s="4" t="s">
        <v>210</v>
      </c>
      <c r="Q50" s="4" t="s">
        <v>210</v>
      </c>
      <c r="R50" s="4" t="s">
        <v>210</v>
      </c>
      <c r="S50" s="4" t="s">
        <v>210</v>
      </c>
      <c r="T50" s="4" t="s">
        <v>210</v>
      </c>
      <c r="U50" s="4" t="s">
        <v>210</v>
      </c>
      <c r="V50" s="4" t="s">
        <v>210</v>
      </c>
      <c r="W50" s="4" t="s">
        <v>210</v>
      </c>
      <c r="X50" s="4" t="s">
        <v>298</v>
      </c>
      <c r="Y50" s="4" t="s">
        <v>211</v>
      </c>
      <c r="Z50" s="4" t="s">
        <v>211</v>
      </c>
      <c r="AA50" s="4" t="s">
        <v>294</v>
      </c>
      <c r="AB50" s="4" t="s">
        <v>295</v>
      </c>
    </row>
    <row r="51" spans="1:28">
      <c r="A51" s="4" t="s">
        <v>176</v>
      </c>
      <c r="B51" s="4" t="s">
        <v>176</v>
      </c>
      <c r="C51" s="4" t="s">
        <v>211</v>
      </c>
      <c r="D51" s="4" t="s">
        <v>296</v>
      </c>
      <c r="E51" s="4" t="s">
        <v>94</v>
      </c>
      <c r="F51" s="4" t="s">
        <v>112</v>
      </c>
      <c r="G51" s="4" t="s">
        <v>112</v>
      </c>
      <c r="H51" s="4" t="s">
        <v>210</v>
      </c>
      <c r="I51" s="4" t="s">
        <v>211</v>
      </c>
      <c r="J51" s="4" t="s">
        <v>225</v>
      </c>
      <c r="K51" s="4" t="s">
        <v>226</v>
      </c>
      <c r="L51" s="4" t="s">
        <v>210</v>
      </c>
      <c r="M51" s="4" t="s">
        <v>297</v>
      </c>
      <c r="N51" s="4" t="s">
        <v>365</v>
      </c>
      <c r="O51" s="4" t="s">
        <v>211</v>
      </c>
      <c r="P51" s="4" t="s">
        <v>210</v>
      </c>
      <c r="Q51" s="4" t="s">
        <v>210</v>
      </c>
      <c r="R51" s="4" t="s">
        <v>210</v>
      </c>
      <c r="S51" s="4" t="s">
        <v>210</v>
      </c>
      <c r="T51" s="4" t="s">
        <v>210</v>
      </c>
      <c r="U51" s="4" t="s">
        <v>210</v>
      </c>
      <c r="V51" s="4" t="s">
        <v>210</v>
      </c>
      <c r="W51" s="4" t="s">
        <v>210</v>
      </c>
      <c r="X51" s="4" t="s">
        <v>298</v>
      </c>
      <c r="Y51" s="4" t="s">
        <v>211</v>
      </c>
      <c r="Z51" s="4" t="s">
        <v>211</v>
      </c>
      <c r="AA51" s="4" t="s">
        <v>294</v>
      </c>
      <c r="AB51" s="4" t="s">
        <v>295</v>
      </c>
    </row>
    <row r="52" spans="1:28">
      <c r="A52" s="4" t="s">
        <v>177</v>
      </c>
      <c r="B52" s="4" t="s">
        <v>177</v>
      </c>
      <c r="C52" s="4" t="s">
        <v>211</v>
      </c>
      <c r="D52" s="4" t="s">
        <v>296</v>
      </c>
      <c r="E52" s="4" t="s">
        <v>94</v>
      </c>
      <c r="F52" s="4" t="s">
        <v>112</v>
      </c>
      <c r="G52" s="4" t="s">
        <v>112</v>
      </c>
      <c r="H52" s="4" t="s">
        <v>210</v>
      </c>
      <c r="I52" s="4" t="s">
        <v>211</v>
      </c>
      <c r="J52" s="4" t="s">
        <v>225</v>
      </c>
      <c r="K52" s="4" t="s">
        <v>226</v>
      </c>
      <c r="L52" s="4" t="s">
        <v>210</v>
      </c>
      <c r="M52" s="4" t="s">
        <v>297</v>
      </c>
      <c r="N52" s="4" t="s">
        <v>365</v>
      </c>
      <c r="O52" s="4" t="s">
        <v>211</v>
      </c>
      <c r="P52" s="4" t="s">
        <v>210</v>
      </c>
      <c r="Q52" s="4" t="s">
        <v>210</v>
      </c>
      <c r="R52" s="4" t="s">
        <v>210</v>
      </c>
      <c r="S52" s="4" t="s">
        <v>210</v>
      </c>
      <c r="T52" s="4" t="s">
        <v>210</v>
      </c>
      <c r="U52" s="4" t="s">
        <v>210</v>
      </c>
      <c r="V52" s="4" t="s">
        <v>210</v>
      </c>
      <c r="W52" s="4" t="s">
        <v>210</v>
      </c>
      <c r="X52" s="4" t="s">
        <v>298</v>
      </c>
      <c r="Y52" s="4" t="s">
        <v>211</v>
      </c>
      <c r="Z52" s="4" t="s">
        <v>211</v>
      </c>
      <c r="AA52" s="4" t="s">
        <v>294</v>
      </c>
      <c r="AB52" s="4" t="s">
        <v>295</v>
      </c>
    </row>
    <row r="53" spans="1:28">
      <c r="A53" s="4" t="s">
        <v>178</v>
      </c>
      <c r="B53" s="4" t="s">
        <v>178</v>
      </c>
      <c r="C53" s="4" t="s">
        <v>211</v>
      </c>
      <c r="D53" s="4" t="s">
        <v>296</v>
      </c>
      <c r="E53" s="4" t="s">
        <v>94</v>
      </c>
      <c r="F53" s="4" t="s">
        <v>112</v>
      </c>
      <c r="G53" s="4" t="s">
        <v>112</v>
      </c>
      <c r="H53" s="4" t="s">
        <v>210</v>
      </c>
      <c r="I53" s="4" t="s">
        <v>211</v>
      </c>
      <c r="J53" s="4" t="s">
        <v>225</v>
      </c>
      <c r="K53" s="4" t="s">
        <v>226</v>
      </c>
      <c r="L53" s="4" t="s">
        <v>210</v>
      </c>
      <c r="M53" s="4" t="s">
        <v>297</v>
      </c>
      <c r="N53" s="4" t="s">
        <v>390</v>
      </c>
      <c r="O53" s="4" t="s">
        <v>211</v>
      </c>
      <c r="P53" s="4" t="s">
        <v>210</v>
      </c>
      <c r="Q53" s="4" t="s">
        <v>210</v>
      </c>
      <c r="R53" s="4" t="s">
        <v>210</v>
      </c>
      <c r="S53" s="4" t="s">
        <v>210</v>
      </c>
      <c r="T53" s="4" t="s">
        <v>210</v>
      </c>
      <c r="U53" s="4" t="s">
        <v>210</v>
      </c>
      <c r="V53" s="4" t="s">
        <v>210</v>
      </c>
      <c r="W53" s="4" t="s">
        <v>210</v>
      </c>
      <c r="X53" s="4" t="s">
        <v>298</v>
      </c>
      <c r="Y53" s="4" t="s">
        <v>211</v>
      </c>
      <c r="Z53" s="4" t="s">
        <v>211</v>
      </c>
      <c r="AA53" s="4" t="s">
        <v>294</v>
      </c>
      <c r="AB53" s="4" t="s">
        <v>295</v>
      </c>
    </row>
    <row r="54" spans="1:28">
      <c r="A54" s="4" t="s">
        <v>179</v>
      </c>
      <c r="B54" s="4" t="s">
        <v>179</v>
      </c>
      <c r="C54" s="4" t="s">
        <v>211</v>
      </c>
      <c r="D54" s="4" t="s">
        <v>296</v>
      </c>
      <c r="E54" s="4" t="s">
        <v>94</v>
      </c>
      <c r="F54" s="4" t="s">
        <v>112</v>
      </c>
      <c r="G54" s="4" t="s">
        <v>112</v>
      </c>
      <c r="H54" s="4" t="s">
        <v>210</v>
      </c>
      <c r="I54" s="4" t="s">
        <v>211</v>
      </c>
      <c r="J54" s="4" t="s">
        <v>250</v>
      </c>
      <c r="K54" s="4" t="s">
        <v>251</v>
      </c>
      <c r="L54" s="4" t="s">
        <v>210</v>
      </c>
      <c r="M54" s="4" t="s">
        <v>297</v>
      </c>
      <c r="N54" s="4" t="s">
        <v>370</v>
      </c>
      <c r="O54" s="4" t="s">
        <v>211</v>
      </c>
      <c r="P54" s="4" t="s">
        <v>210</v>
      </c>
      <c r="Q54" s="4" t="s">
        <v>210</v>
      </c>
      <c r="R54" s="4" t="s">
        <v>210</v>
      </c>
      <c r="S54" s="4" t="s">
        <v>210</v>
      </c>
      <c r="T54" s="4" t="s">
        <v>210</v>
      </c>
      <c r="U54" s="4" t="s">
        <v>210</v>
      </c>
      <c r="V54" s="4" t="s">
        <v>210</v>
      </c>
      <c r="W54" s="4" t="s">
        <v>210</v>
      </c>
      <c r="X54" s="4" t="s">
        <v>298</v>
      </c>
      <c r="Y54" s="4" t="s">
        <v>211</v>
      </c>
      <c r="Z54" s="4" t="s">
        <v>211</v>
      </c>
      <c r="AA54" s="4" t="s">
        <v>294</v>
      </c>
      <c r="AB54" s="4" t="s">
        <v>295</v>
      </c>
    </row>
    <row r="55" spans="1:28">
      <c r="A55" s="4" t="s">
        <v>180</v>
      </c>
      <c r="B55" s="4" t="s">
        <v>180</v>
      </c>
      <c r="C55" s="4" t="s">
        <v>180</v>
      </c>
      <c r="D55" s="4" t="s">
        <v>296</v>
      </c>
      <c r="E55" s="4" t="s">
        <v>181</v>
      </c>
      <c r="F55" s="4" t="s">
        <v>204</v>
      </c>
      <c r="G55" s="4" t="s">
        <v>110</v>
      </c>
      <c r="H55" s="4" t="s">
        <v>391</v>
      </c>
      <c r="I55" s="4" t="s">
        <v>242</v>
      </c>
      <c r="J55" s="4" t="s">
        <v>392</v>
      </c>
      <c r="K55" s="4" t="s">
        <v>392</v>
      </c>
      <c r="L55" s="4" t="s">
        <v>210</v>
      </c>
      <c r="M55" s="4" t="s">
        <v>297</v>
      </c>
      <c r="N55" s="4" t="s">
        <v>393</v>
      </c>
      <c r="O55" s="4" t="s">
        <v>383</v>
      </c>
      <c r="P55" s="4" t="s">
        <v>210</v>
      </c>
      <c r="Q55" s="4" t="s">
        <v>210</v>
      </c>
      <c r="R55" s="4" t="s">
        <v>210</v>
      </c>
      <c r="S55" s="4" t="s">
        <v>210</v>
      </c>
      <c r="T55" s="4" t="s">
        <v>210</v>
      </c>
      <c r="U55" s="4" t="s">
        <v>210</v>
      </c>
      <c r="V55" s="4" t="s">
        <v>210</v>
      </c>
      <c r="W55" s="4" t="s">
        <v>210</v>
      </c>
      <c r="X55" s="4" t="s">
        <v>394</v>
      </c>
      <c r="Y55" s="4" t="s">
        <v>112</v>
      </c>
      <c r="Z55" s="4" t="s">
        <v>211</v>
      </c>
      <c r="AA55" s="4" t="s">
        <v>294</v>
      </c>
      <c r="AB55" s="4" t="s">
        <v>295</v>
      </c>
    </row>
    <row r="56" spans="1:28">
      <c r="A56" s="4" t="s">
        <v>180</v>
      </c>
      <c r="B56" s="4" t="s">
        <v>180</v>
      </c>
      <c r="C56" s="4" t="s">
        <v>211</v>
      </c>
      <c r="D56" s="4" t="s">
        <v>296</v>
      </c>
      <c r="E56" s="4" t="s">
        <v>94</v>
      </c>
      <c r="F56" s="4" t="s">
        <v>112</v>
      </c>
      <c r="G56" s="4" t="s">
        <v>112</v>
      </c>
      <c r="H56" s="4" t="s">
        <v>210</v>
      </c>
      <c r="I56" s="4" t="s">
        <v>211</v>
      </c>
      <c r="J56" s="4" t="s">
        <v>225</v>
      </c>
      <c r="K56" s="4" t="s">
        <v>226</v>
      </c>
      <c r="L56" s="4" t="s">
        <v>210</v>
      </c>
      <c r="M56" s="4" t="s">
        <v>297</v>
      </c>
      <c r="N56" s="4" t="s">
        <v>395</v>
      </c>
      <c r="O56" s="4" t="s">
        <v>211</v>
      </c>
      <c r="P56" s="4" t="s">
        <v>210</v>
      </c>
      <c r="Q56" s="4" t="s">
        <v>210</v>
      </c>
      <c r="R56" s="4" t="s">
        <v>210</v>
      </c>
      <c r="S56" s="4" t="s">
        <v>210</v>
      </c>
      <c r="T56" s="4" t="s">
        <v>210</v>
      </c>
      <c r="U56" s="4" t="s">
        <v>210</v>
      </c>
      <c r="V56" s="4" t="s">
        <v>210</v>
      </c>
      <c r="W56" s="4" t="s">
        <v>210</v>
      </c>
      <c r="X56" s="4" t="s">
        <v>298</v>
      </c>
      <c r="Y56" s="4" t="s">
        <v>211</v>
      </c>
      <c r="Z56" s="4" t="s">
        <v>211</v>
      </c>
      <c r="AA56" s="4" t="s">
        <v>294</v>
      </c>
      <c r="AB56" s="4" t="s">
        <v>295</v>
      </c>
    </row>
    <row r="57" spans="1:28">
      <c r="A57" s="4" t="s">
        <v>182</v>
      </c>
      <c r="B57" s="4" t="s">
        <v>182</v>
      </c>
      <c r="C57" s="4" t="s">
        <v>211</v>
      </c>
      <c r="D57" s="4" t="s">
        <v>296</v>
      </c>
      <c r="E57" s="4" t="s">
        <v>94</v>
      </c>
      <c r="F57" s="4" t="s">
        <v>112</v>
      </c>
      <c r="G57" s="4" t="s">
        <v>112</v>
      </c>
      <c r="H57" s="4" t="s">
        <v>210</v>
      </c>
      <c r="I57" s="4" t="s">
        <v>211</v>
      </c>
      <c r="J57" s="4" t="s">
        <v>225</v>
      </c>
      <c r="K57" s="4" t="s">
        <v>226</v>
      </c>
      <c r="L57" s="4" t="s">
        <v>210</v>
      </c>
      <c r="M57" s="4" t="s">
        <v>297</v>
      </c>
      <c r="N57" s="4" t="s">
        <v>365</v>
      </c>
      <c r="O57" s="4" t="s">
        <v>211</v>
      </c>
      <c r="P57" s="4" t="s">
        <v>210</v>
      </c>
      <c r="Q57" s="4" t="s">
        <v>210</v>
      </c>
      <c r="R57" s="4" t="s">
        <v>210</v>
      </c>
      <c r="S57" s="4" t="s">
        <v>210</v>
      </c>
      <c r="T57" s="4" t="s">
        <v>210</v>
      </c>
      <c r="U57" s="4" t="s">
        <v>210</v>
      </c>
      <c r="V57" s="4" t="s">
        <v>210</v>
      </c>
      <c r="W57" s="4" t="s">
        <v>210</v>
      </c>
      <c r="X57" s="4" t="s">
        <v>298</v>
      </c>
      <c r="Y57" s="4" t="s">
        <v>211</v>
      </c>
      <c r="Z57" s="4" t="s">
        <v>211</v>
      </c>
      <c r="AA57" s="4" t="s">
        <v>294</v>
      </c>
      <c r="AB57" s="4" t="s">
        <v>295</v>
      </c>
    </row>
    <row r="58" spans="1:28">
      <c r="A58" s="4" t="s">
        <v>183</v>
      </c>
      <c r="B58" s="4" t="s">
        <v>183</v>
      </c>
      <c r="C58" s="4" t="s">
        <v>211</v>
      </c>
      <c r="D58" s="4" t="s">
        <v>296</v>
      </c>
      <c r="E58" s="4" t="s">
        <v>94</v>
      </c>
      <c r="F58" s="4" t="s">
        <v>112</v>
      </c>
      <c r="G58" s="4" t="s">
        <v>112</v>
      </c>
      <c r="H58" s="4" t="s">
        <v>210</v>
      </c>
      <c r="I58" s="4" t="s">
        <v>211</v>
      </c>
      <c r="J58" s="4" t="s">
        <v>339</v>
      </c>
      <c r="K58" s="4" t="s">
        <v>340</v>
      </c>
      <c r="L58" s="4" t="s">
        <v>210</v>
      </c>
      <c r="M58" s="4" t="s">
        <v>297</v>
      </c>
      <c r="N58" s="4" t="s">
        <v>396</v>
      </c>
      <c r="O58" s="4" t="s">
        <v>211</v>
      </c>
      <c r="P58" s="4" t="s">
        <v>210</v>
      </c>
      <c r="Q58" s="4" t="s">
        <v>210</v>
      </c>
      <c r="R58" s="4" t="s">
        <v>210</v>
      </c>
      <c r="S58" s="4" t="s">
        <v>210</v>
      </c>
      <c r="T58" s="4" t="s">
        <v>210</v>
      </c>
      <c r="U58" s="4" t="s">
        <v>210</v>
      </c>
      <c r="V58" s="4" t="s">
        <v>210</v>
      </c>
      <c r="W58" s="4" t="s">
        <v>210</v>
      </c>
      <c r="X58" s="4" t="s">
        <v>298</v>
      </c>
      <c r="Y58" s="4" t="s">
        <v>211</v>
      </c>
      <c r="Z58" s="4" t="s">
        <v>211</v>
      </c>
      <c r="AA58" s="4" t="s">
        <v>294</v>
      </c>
      <c r="AB58" s="4" t="s">
        <v>295</v>
      </c>
    </row>
    <row r="59" spans="1:28">
      <c r="A59" s="4" t="s">
        <v>184</v>
      </c>
      <c r="B59" s="4" t="s">
        <v>184</v>
      </c>
      <c r="C59" s="4" t="s">
        <v>211</v>
      </c>
      <c r="D59" s="4" t="s">
        <v>296</v>
      </c>
      <c r="E59" s="4" t="s">
        <v>94</v>
      </c>
      <c r="F59" s="4" t="s">
        <v>112</v>
      </c>
      <c r="G59" s="4" t="s">
        <v>112</v>
      </c>
      <c r="H59" s="4" t="s">
        <v>210</v>
      </c>
      <c r="I59" s="4" t="s">
        <v>211</v>
      </c>
      <c r="J59" s="4" t="s">
        <v>225</v>
      </c>
      <c r="K59" s="4" t="s">
        <v>226</v>
      </c>
      <c r="L59" s="4" t="s">
        <v>210</v>
      </c>
      <c r="M59" s="4" t="s">
        <v>297</v>
      </c>
      <c r="N59" s="4" t="s">
        <v>397</v>
      </c>
      <c r="O59" s="4" t="s">
        <v>211</v>
      </c>
      <c r="P59" s="4" t="s">
        <v>210</v>
      </c>
      <c r="Q59" s="4" t="s">
        <v>210</v>
      </c>
      <c r="R59" s="4" t="s">
        <v>210</v>
      </c>
      <c r="S59" s="4" t="s">
        <v>210</v>
      </c>
      <c r="T59" s="4" t="s">
        <v>210</v>
      </c>
      <c r="U59" s="4" t="s">
        <v>210</v>
      </c>
      <c r="V59" s="4" t="s">
        <v>210</v>
      </c>
      <c r="W59" s="4" t="s">
        <v>210</v>
      </c>
      <c r="X59" s="4" t="s">
        <v>298</v>
      </c>
      <c r="Y59" s="4" t="s">
        <v>211</v>
      </c>
      <c r="Z59" s="4" t="s">
        <v>211</v>
      </c>
      <c r="AA59" s="4" t="s">
        <v>294</v>
      </c>
      <c r="AB59" s="4" t="s">
        <v>295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workbookViewId="0">
      <selection activeCell="K52" sqref="K52"/>
    </sheetView>
  </sheetViews>
  <sheetFormatPr defaultColWidth="9.55833333333333" defaultRowHeight="13.5"/>
  <cols>
    <col min="1" max="16384" width="9.55833333333333" style="4"/>
  </cols>
  <sheetData>
    <row r="1" spans="1:15">
      <c r="A1" s="4" t="str">
        <f>"购买日期"</f>
        <v>购买日期</v>
      </c>
      <c r="B1" s="4" t="str">
        <f>"委托日期"</f>
        <v>委托日期</v>
      </c>
      <c r="C1" s="4" t="str">
        <f>"业务类型"</f>
        <v>业务类型</v>
      </c>
      <c r="D1" s="4" t="str">
        <f>"证券代码"</f>
        <v>证券代码</v>
      </c>
      <c r="E1" s="4" t="str">
        <f>"证券名称"</f>
        <v>证券名称</v>
      </c>
      <c r="F1" s="4" t="str">
        <f>"成交价格"</f>
        <v>成交价格</v>
      </c>
      <c r="G1" s="4" t="str">
        <f>"成交数量"</f>
        <v>成交数量</v>
      </c>
      <c r="H1" s="4" t="str">
        <f>"成交金额"</f>
        <v>成交金额</v>
      </c>
      <c r="I1" s="4" t="str">
        <f>"发生金额"</f>
        <v>发生金额</v>
      </c>
      <c r="J1" s="4" t="str">
        <f>"资金余额"</f>
        <v>资金余额</v>
      </c>
      <c r="K1" s="4" t="str">
        <f>"当前持仓"</f>
        <v>当前持仓</v>
      </c>
      <c r="L1" s="4" t="str">
        <f>"币种"</f>
        <v>币种</v>
      </c>
      <c r="M1" s="4" t="str">
        <f>"协议编号"</f>
        <v>协议编号</v>
      </c>
      <c r="N1" s="4" t="str">
        <f>"股东代码"</f>
        <v>股东代码</v>
      </c>
      <c r="O1" s="4" t="str">
        <f>"产品账号"</f>
        <v>产品账号</v>
      </c>
    </row>
    <row r="2" spans="1:15">
      <c r="A2" s="4" t="str">
        <f>"20200701"</f>
        <v>20200701</v>
      </c>
      <c r="B2" s="4" t="str">
        <f>"20200701"</f>
        <v>20200701</v>
      </c>
      <c r="C2" s="4" t="str">
        <f>"基金申购拨出"</f>
        <v>基金申购拨出</v>
      </c>
      <c r="D2" s="4" t="str">
        <f t="shared" ref="D2:D6" si="0">"AA0007"</f>
        <v>AA0007</v>
      </c>
      <c r="E2" s="4" t="str">
        <f t="shared" ref="E2:E6" si="1">"银河水星1号集合"</f>
        <v>银河水星1号集合</v>
      </c>
      <c r="F2" s="4">
        <v>0</v>
      </c>
      <c r="G2" s="4">
        <v>0</v>
      </c>
      <c r="H2" s="4">
        <v>0</v>
      </c>
      <c r="I2" s="4">
        <v>-18283.63</v>
      </c>
      <c r="J2" s="4">
        <v>5</v>
      </c>
      <c r="K2" s="4">
        <v>0</v>
      </c>
      <c r="L2" s="4" t="str">
        <f t="shared" ref="L2:L42" si="2">"人民币"</f>
        <v>人民币</v>
      </c>
      <c r="N2" s="4" t="str">
        <f t="shared" ref="N2:N6" si="3">"980149593788"</f>
        <v>980149593788</v>
      </c>
      <c r="O2" s="4" t="str">
        <f t="shared" ref="O2:O42" si="4">"300100052893"</f>
        <v>300100052893</v>
      </c>
    </row>
    <row r="3" spans="1:15">
      <c r="A3" s="4" t="str">
        <f>"20200703"</f>
        <v>20200703</v>
      </c>
      <c r="B3" s="4" t="str">
        <f>"20200703"</f>
        <v>20200703</v>
      </c>
      <c r="C3" s="4" t="str">
        <f t="shared" ref="C3:C6" si="5">"基金赎回拨入"</f>
        <v>基金赎回拨入</v>
      </c>
      <c r="D3" s="4" t="str">
        <f t="shared" si="0"/>
        <v>AA0007</v>
      </c>
      <c r="E3" s="4" t="str">
        <f t="shared" si="1"/>
        <v>银河水星1号集合</v>
      </c>
      <c r="F3" s="4">
        <v>0</v>
      </c>
      <c r="G3" s="4">
        <v>0</v>
      </c>
      <c r="H3" s="4">
        <v>0</v>
      </c>
      <c r="I3" s="4">
        <v>0.06</v>
      </c>
      <c r="J3" s="4">
        <v>5</v>
      </c>
      <c r="K3" s="4">
        <v>0</v>
      </c>
      <c r="L3" s="4" t="str">
        <f t="shared" si="2"/>
        <v>人民币</v>
      </c>
      <c r="N3" s="4" t="str">
        <f t="shared" si="3"/>
        <v>980149593788</v>
      </c>
      <c r="O3" s="4" t="str">
        <f t="shared" si="4"/>
        <v>300100052893</v>
      </c>
    </row>
    <row r="4" spans="1:15">
      <c r="A4" s="4" t="str">
        <f>"20200706"</f>
        <v>20200706</v>
      </c>
      <c r="B4" s="4" t="str">
        <f>"20200706"</f>
        <v>20200706</v>
      </c>
      <c r="C4" s="4" t="str">
        <f t="shared" si="5"/>
        <v>基金赎回拨入</v>
      </c>
      <c r="D4" s="4" t="str">
        <f t="shared" si="0"/>
        <v>AA0007</v>
      </c>
      <c r="E4" s="4" t="str">
        <f t="shared" si="1"/>
        <v>银河水星1号集合</v>
      </c>
      <c r="F4" s="4">
        <v>0</v>
      </c>
      <c r="G4" s="4">
        <v>0</v>
      </c>
      <c r="H4" s="4">
        <v>0</v>
      </c>
      <c r="I4" s="4">
        <v>0.03</v>
      </c>
      <c r="J4" s="4">
        <v>5</v>
      </c>
      <c r="K4" s="4">
        <v>0</v>
      </c>
      <c r="L4" s="4" t="str">
        <f t="shared" si="2"/>
        <v>人民币</v>
      </c>
      <c r="N4" s="4" t="str">
        <f t="shared" si="3"/>
        <v>980149593788</v>
      </c>
      <c r="O4" s="4" t="str">
        <f t="shared" si="4"/>
        <v>300100052893</v>
      </c>
    </row>
    <row r="5" spans="1:15">
      <c r="A5" s="4" t="str">
        <f>"20200707"</f>
        <v>20200707</v>
      </c>
      <c r="B5" s="4" t="str">
        <f>"20200707"</f>
        <v>20200707</v>
      </c>
      <c r="C5" s="4" t="str">
        <f t="shared" si="5"/>
        <v>基金赎回拨入</v>
      </c>
      <c r="D5" s="4" t="str">
        <f t="shared" si="0"/>
        <v>AA0007</v>
      </c>
      <c r="E5" s="4" t="str">
        <f t="shared" si="1"/>
        <v>银河水星1号集合</v>
      </c>
      <c r="F5" s="4">
        <v>0</v>
      </c>
      <c r="G5" s="4">
        <v>0</v>
      </c>
      <c r="H5" s="4">
        <v>0</v>
      </c>
      <c r="I5" s="4">
        <v>0.08</v>
      </c>
      <c r="J5" s="4">
        <v>5</v>
      </c>
      <c r="K5" s="4">
        <v>0</v>
      </c>
      <c r="L5" s="4" t="str">
        <f t="shared" si="2"/>
        <v>人民币</v>
      </c>
      <c r="N5" s="4" t="str">
        <f t="shared" si="3"/>
        <v>980149593788</v>
      </c>
      <c r="O5" s="4" t="str">
        <f t="shared" si="4"/>
        <v>300100052893</v>
      </c>
    </row>
    <row r="6" spans="1:15">
      <c r="A6" s="4" t="str">
        <f>"20200708"</f>
        <v>20200708</v>
      </c>
      <c r="B6" s="4" t="str">
        <f>"20200708"</f>
        <v>20200708</v>
      </c>
      <c r="C6" s="4" t="str">
        <f t="shared" si="5"/>
        <v>基金赎回拨入</v>
      </c>
      <c r="D6" s="4" t="str">
        <f t="shared" si="0"/>
        <v>AA0007</v>
      </c>
      <c r="E6" s="4" t="str">
        <f t="shared" si="1"/>
        <v>银河水星1号集合</v>
      </c>
      <c r="F6" s="4">
        <v>0</v>
      </c>
      <c r="G6" s="4">
        <v>19026</v>
      </c>
      <c r="H6" s="4">
        <v>0</v>
      </c>
      <c r="I6" s="4">
        <v>19026.43</v>
      </c>
      <c r="J6" s="4">
        <v>19031.4</v>
      </c>
      <c r="K6" s="4">
        <v>0</v>
      </c>
      <c r="L6" s="4" t="str">
        <f t="shared" si="2"/>
        <v>人民币</v>
      </c>
      <c r="N6" s="4" t="str">
        <f t="shared" si="3"/>
        <v>980149593788</v>
      </c>
      <c r="O6" s="4" t="str">
        <f t="shared" si="4"/>
        <v>300100052893</v>
      </c>
    </row>
    <row r="7" spans="1:15">
      <c r="A7" s="4" t="str">
        <f>"20200716"</f>
        <v>20200716</v>
      </c>
      <c r="B7" s="4" t="str">
        <f>"20200716"</f>
        <v>20200716</v>
      </c>
      <c r="C7" s="4" t="str">
        <f>"基金上折"</f>
        <v>基金上折</v>
      </c>
      <c r="D7" s="4" t="str">
        <f t="shared" ref="D7:D12" si="6">"161024"</f>
        <v>161024</v>
      </c>
      <c r="E7" s="4" t="str">
        <f t="shared" ref="E7:E12" si="7">"军工分级"</f>
        <v>军工分级</v>
      </c>
      <c r="F7" s="4">
        <v>0</v>
      </c>
      <c r="G7" s="4">
        <v>2820</v>
      </c>
      <c r="H7" s="4">
        <v>0</v>
      </c>
      <c r="I7" s="4">
        <v>0</v>
      </c>
      <c r="J7" s="4">
        <v>561.83</v>
      </c>
      <c r="K7" s="4">
        <v>4241</v>
      </c>
      <c r="L7" s="4" t="str">
        <f t="shared" si="2"/>
        <v>人民币</v>
      </c>
      <c r="N7" s="4" t="str">
        <f t="shared" ref="N7:N10" si="8">"0149593788"</f>
        <v>0149593788</v>
      </c>
      <c r="O7" s="4" t="str">
        <f t="shared" si="4"/>
        <v>300100052893</v>
      </c>
    </row>
    <row r="8" spans="1:15">
      <c r="A8" s="4" t="str">
        <f>"20200716"</f>
        <v>20200716</v>
      </c>
      <c r="B8" s="4" t="str">
        <f>"20200716"</f>
        <v>20200716</v>
      </c>
      <c r="C8" s="4" t="str">
        <f>"基金上折"</f>
        <v>基金上折</v>
      </c>
      <c r="D8" s="4" t="str">
        <f t="shared" si="6"/>
        <v>161024</v>
      </c>
      <c r="E8" s="4" t="str">
        <f t="shared" si="7"/>
        <v>军工分级</v>
      </c>
      <c r="F8" s="4">
        <v>0</v>
      </c>
      <c r="G8" s="4">
        <v>636</v>
      </c>
      <c r="H8" s="4">
        <v>0</v>
      </c>
      <c r="I8" s="4">
        <v>0</v>
      </c>
      <c r="J8" s="4">
        <v>561.83</v>
      </c>
      <c r="K8" s="4">
        <v>4877</v>
      </c>
      <c r="L8" s="4" t="str">
        <f t="shared" si="2"/>
        <v>人民币</v>
      </c>
      <c r="N8" s="4" t="str">
        <f t="shared" si="8"/>
        <v>0149593788</v>
      </c>
      <c r="O8" s="4" t="str">
        <f t="shared" si="4"/>
        <v>300100052893</v>
      </c>
    </row>
    <row r="9" spans="1:15">
      <c r="A9" s="4" t="str">
        <f>"20200724"</f>
        <v>20200724</v>
      </c>
      <c r="B9" s="4" t="str">
        <f t="shared" ref="B9:B12" si="9">"20200724"</f>
        <v>20200724</v>
      </c>
      <c r="C9" s="4" t="str">
        <f t="shared" ref="C9:C13" si="10">"基金申购拨出"</f>
        <v>基金申购拨出</v>
      </c>
      <c r="D9" s="4" t="str">
        <f t="shared" ref="D9:D32" si="11">"AA0007"</f>
        <v>AA0007</v>
      </c>
      <c r="E9" s="4" t="str">
        <f t="shared" ref="E9:E32" si="12">"银河水星1号集合"</f>
        <v>银河水星1号集合</v>
      </c>
      <c r="F9" s="4">
        <v>0</v>
      </c>
      <c r="G9" s="4">
        <v>0</v>
      </c>
      <c r="H9" s="4">
        <v>0</v>
      </c>
      <c r="I9" s="4">
        <v>-4248.82</v>
      </c>
      <c r="J9" s="4">
        <v>-3687.22</v>
      </c>
      <c r="K9" s="4">
        <v>0</v>
      </c>
      <c r="L9" s="4" t="str">
        <f t="shared" si="2"/>
        <v>人民币</v>
      </c>
      <c r="N9" s="4" t="str">
        <f t="shared" ref="N9:N32" si="13">"980149593788"</f>
        <v>980149593788</v>
      </c>
      <c r="O9" s="4" t="str">
        <f t="shared" si="4"/>
        <v>300100052893</v>
      </c>
    </row>
    <row r="10" spans="1:15">
      <c r="A10" s="4" t="str">
        <f>"20200724"</f>
        <v>20200724</v>
      </c>
      <c r="B10" s="4" t="str">
        <f t="shared" si="9"/>
        <v>20200724</v>
      </c>
      <c r="C10" s="4" t="str">
        <f>"证券卖出"</f>
        <v>证券卖出</v>
      </c>
      <c r="D10" s="4" t="str">
        <f>"150182"</f>
        <v>150182</v>
      </c>
      <c r="E10" s="4" t="str">
        <f>"军工B"</f>
        <v>军工B</v>
      </c>
      <c r="F10" s="4">
        <v>1.472</v>
      </c>
      <c r="G10" s="4">
        <v>3246</v>
      </c>
      <c r="H10" s="4">
        <v>4778.11</v>
      </c>
      <c r="I10" s="4">
        <v>4773.11</v>
      </c>
      <c r="J10" s="4">
        <v>1085.89</v>
      </c>
      <c r="K10" s="4">
        <v>0</v>
      </c>
      <c r="L10" s="4" t="str">
        <f t="shared" si="2"/>
        <v>人民币</v>
      </c>
      <c r="M10" s="4" t="str">
        <f>"T4008789"</f>
        <v>T4008789</v>
      </c>
      <c r="N10" s="4" t="str">
        <f t="shared" si="8"/>
        <v>0149593788</v>
      </c>
      <c r="O10" s="4" t="str">
        <f t="shared" si="4"/>
        <v>300100052893</v>
      </c>
    </row>
    <row r="11" spans="1:15">
      <c r="A11" s="4" t="str">
        <f>"20200727"</f>
        <v>20200727</v>
      </c>
      <c r="B11" s="4" t="str">
        <f>"20200727"</f>
        <v>20200727</v>
      </c>
      <c r="C11" s="4" t="str">
        <f t="shared" si="10"/>
        <v>基金申购拨出</v>
      </c>
      <c r="D11" s="4" t="str">
        <f t="shared" si="11"/>
        <v>AA0007</v>
      </c>
      <c r="E11" s="4" t="str">
        <f t="shared" si="12"/>
        <v>银河水星1号集合</v>
      </c>
      <c r="F11" s="4">
        <v>0</v>
      </c>
      <c r="G11" s="4">
        <v>0</v>
      </c>
      <c r="H11" s="4">
        <v>0</v>
      </c>
      <c r="I11" s="4">
        <v>-1080.86</v>
      </c>
      <c r="J11" s="4">
        <v>5</v>
      </c>
      <c r="K11" s="4">
        <v>0</v>
      </c>
      <c r="L11" s="4" t="str">
        <f t="shared" si="2"/>
        <v>人民币</v>
      </c>
      <c r="N11" s="4" t="str">
        <f t="shared" si="13"/>
        <v>980149593788</v>
      </c>
      <c r="O11" s="4" t="str">
        <f t="shared" si="4"/>
        <v>300100052893</v>
      </c>
    </row>
    <row r="12" spans="1:15">
      <c r="A12" s="4" t="str">
        <f>"20200728"</f>
        <v>20200728</v>
      </c>
      <c r="B12" s="4" t="str">
        <f t="shared" si="9"/>
        <v>20200724</v>
      </c>
      <c r="C12" s="4" t="str">
        <f>"开放基金赎回"</f>
        <v>开放基金赎回</v>
      </c>
      <c r="D12" s="4" t="str">
        <f t="shared" si="6"/>
        <v>161024</v>
      </c>
      <c r="E12" s="4" t="str">
        <f t="shared" si="7"/>
        <v>军工分级</v>
      </c>
      <c r="F12" s="4">
        <v>1.062</v>
      </c>
      <c r="G12" s="4">
        <v>4877</v>
      </c>
      <c r="H12" s="4">
        <v>5179.37</v>
      </c>
      <c r="I12" s="4">
        <v>5153.47</v>
      </c>
      <c r="J12" s="4">
        <v>5158.39</v>
      </c>
      <c r="K12" s="4">
        <v>0</v>
      </c>
      <c r="L12" s="4" t="str">
        <f t="shared" si="2"/>
        <v>人民币</v>
      </c>
      <c r="M12" s="4" t="str">
        <f>"T4008899"</f>
        <v>T4008899</v>
      </c>
      <c r="N12" s="4" t="str">
        <f>"0149593788"</f>
        <v>0149593788</v>
      </c>
      <c r="O12" s="4" t="str">
        <f t="shared" si="4"/>
        <v>300100052893</v>
      </c>
    </row>
    <row r="13" spans="1:15">
      <c r="A13" s="4" t="str">
        <f>"20200729"</f>
        <v>20200729</v>
      </c>
      <c r="B13" s="4" t="str">
        <f>"20200729"</f>
        <v>20200729</v>
      </c>
      <c r="C13" s="4" t="str">
        <f t="shared" si="10"/>
        <v>基金申购拨出</v>
      </c>
      <c r="D13" s="4" t="str">
        <f t="shared" si="11"/>
        <v>AA0007</v>
      </c>
      <c r="E13" s="4" t="str">
        <f t="shared" si="12"/>
        <v>银河水星1号集合</v>
      </c>
      <c r="F13" s="4">
        <v>0</v>
      </c>
      <c r="G13" s="4">
        <v>0</v>
      </c>
      <c r="H13" s="4">
        <v>0</v>
      </c>
      <c r="I13" s="4">
        <v>-5216.58</v>
      </c>
      <c r="J13" s="4">
        <v>5</v>
      </c>
      <c r="K13" s="4">
        <v>0</v>
      </c>
      <c r="L13" s="4" t="str">
        <f t="shared" si="2"/>
        <v>人民币</v>
      </c>
      <c r="N13" s="4" t="str">
        <f t="shared" si="13"/>
        <v>980149593788</v>
      </c>
      <c r="O13" s="4" t="str">
        <f t="shared" si="4"/>
        <v>300100052893</v>
      </c>
    </row>
    <row r="14" spans="1:15">
      <c r="A14" s="4" t="str">
        <f>"20200730"</f>
        <v>20200730</v>
      </c>
      <c r="B14" s="4" t="str">
        <f>"20200730"</f>
        <v>20200730</v>
      </c>
      <c r="C14" s="4" t="str">
        <f t="shared" ref="C14:C29" si="14">"基金赎回拨入"</f>
        <v>基金赎回拨入</v>
      </c>
      <c r="D14" s="4" t="str">
        <f t="shared" si="11"/>
        <v>AA0007</v>
      </c>
      <c r="E14" s="4" t="str">
        <f t="shared" si="12"/>
        <v>银河水星1号集合</v>
      </c>
      <c r="F14" s="4">
        <v>0</v>
      </c>
      <c r="G14" s="4">
        <v>0</v>
      </c>
      <c r="H14" s="4">
        <v>0</v>
      </c>
      <c r="I14" s="4">
        <v>0.03</v>
      </c>
      <c r="J14" s="4">
        <v>5</v>
      </c>
      <c r="K14" s="4">
        <v>0</v>
      </c>
      <c r="L14" s="4" t="str">
        <f t="shared" si="2"/>
        <v>人民币</v>
      </c>
      <c r="N14" s="4" t="str">
        <f t="shared" si="13"/>
        <v>980149593788</v>
      </c>
      <c r="O14" s="4" t="str">
        <f t="shared" si="4"/>
        <v>300100052893</v>
      </c>
    </row>
    <row r="15" spans="1:15">
      <c r="A15" s="4" t="str">
        <f>"20200731"</f>
        <v>20200731</v>
      </c>
      <c r="B15" s="4" t="str">
        <f>"20200731"</f>
        <v>20200731</v>
      </c>
      <c r="C15" s="4" t="str">
        <f t="shared" si="14"/>
        <v>基金赎回拨入</v>
      </c>
      <c r="D15" s="4" t="str">
        <f t="shared" si="11"/>
        <v>AA0007</v>
      </c>
      <c r="E15" s="4" t="str">
        <f t="shared" si="12"/>
        <v>银河水星1号集合</v>
      </c>
      <c r="F15" s="4">
        <v>0</v>
      </c>
      <c r="G15" s="4">
        <v>0</v>
      </c>
      <c r="H15" s="4">
        <v>0</v>
      </c>
      <c r="I15" s="4">
        <v>0.03</v>
      </c>
      <c r="J15" s="4">
        <v>5</v>
      </c>
      <c r="K15" s="4">
        <v>0</v>
      </c>
      <c r="L15" s="4" t="str">
        <f t="shared" si="2"/>
        <v>人民币</v>
      </c>
      <c r="N15" s="4" t="str">
        <f t="shared" si="13"/>
        <v>980149593788</v>
      </c>
      <c r="O15" s="4" t="str">
        <f t="shared" si="4"/>
        <v>300100052893</v>
      </c>
    </row>
    <row r="16" spans="1:15">
      <c r="A16" s="4" t="str">
        <f>"20200803"</f>
        <v>20200803</v>
      </c>
      <c r="B16" s="4" t="str">
        <f>"20200803"</f>
        <v>20200803</v>
      </c>
      <c r="C16" s="4" t="str">
        <f t="shared" si="14"/>
        <v>基金赎回拨入</v>
      </c>
      <c r="D16" s="4" t="str">
        <f t="shared" si="11"/>
        <v>AA0007</v>
      </c>
      <c r="E16" s="4" t="str">
        <f t="shared" si="12"/>
        <v>银河水星1号集合</v>
      </c>
      <c r="F16" s="4">
        <v>0</v>
      </c>
      <c r="G16" s="4">
        <v>0</v>
      </c>
      <c r="H16" s="4">
        <v>0</v>
      </c>
      <c r="I16" s="4">
        <v>0.03</v>
      </c>
      <c r="J16" s="4">
        <v>5</v>
      </c>
      <c r="K16" s="4">
        <v>0</v>
      </c>
      <c r="L16" s="4" t="str">
        <f t="shared" si="2"/>
        <v>人民币</v>
      </c>
      <c r="N16" s="4" t="str">
        <f t="shared" si="13"/>
        <v>980149593788</v>
      </c>
      <c r="O16" s="4" t="str">
        <f t="shared" si="4"/>
        <v>300100052893</v>
      </c>
    </row>
    <row r="17" spans="1:15">
      <c r="A17" s="4" t="str">
        <f>"20200804"</f>
        <v>20200804</v>
      </c>
      <c r="B17" s="4" t="str">
        <f>"20200804"</f>
        <v>20200804</v>
      </c>
      <c r="C17" s="4" t="str">
        <f t="shared" si="14"/>
        <v>基金赎回拨入</v>
      </c>
      <c r="D17" s="4" t="str">
        <f t="shared" si="11"/>
        <v>AA0007</v>
      </c>
      <c r="E17" s="4" t="str">
        <f t="shared" si="12"/>
        <v>银河水星1号集合</v>
      </c>
      <c r="F17" s="4">
        <v>0</v>
      </c>
      <c r="G17" s="4">
        <v>0</v>
      </c>
      <c r="H17" s="4">
        <v>0</v>
      </c>
      <c r="I17" s="4">
        <v>0.08</v>
      </c>
      <c r="J17" s="4">
        <v>5</v>
      </c>
      <c r="K17" s="4">
        <v>0</v>
      </c>
      <c r="L17" s="4" t="str">
        <f t="shared" si="2"/>
        <v>人民币</v>
      </c>
      <c r="N17" s="4" t="str">
        <f t="shared" si="13"/>
        <v>980149593788</v>
      </c>
      <c r="O17" s="4" t="str">
        <f t="shared" si="4"/>
        <v>300100052893</v>
      </c>
    </row>
    <row r="18" spans="1:15">
      <c r="A18" s="4" t="str">
        <f>"20200805"</f>
        <v>20200805</v>
      </c>
      <c r="B18" s="4" t="str">
        <f>"20200805"</f>
        <v>20200805</v>
      </c>
      <c r="C18" s="4" t="str">
        <f t="shared" si="14"/>
        <v>基金赎回拨入</v>
      </c>
      <c r="D18" s="4" t="str">
        <f t="shared" si="11"/>
        <v>AA0007</v>
      </c>
      <c r="E18" s="4" t="str">
        <f t="shared" si="12"/>
        <v>银河水星1号集合</v>
      </c>
      <c r="F18" s="4">
        <v>0</v>
      </c>
      <c r="G18" s="4">
        <v>0</v>
      </c>
      <c r="H18" s="4">
        <v>0</v>
      </c>
      <c r="I18" s="4">
        <v>0.03</v>
      </c>
      <c r="J18" s="4">
        <v>5</v>
      </c>
      <c r="K18" s="4">
        <v>0</v>
      </c>
      <c r="L18" s="4" t="str">
        <f t="shared" si="2"/>
        <v>人民币</v>
      </c>
      <c r="N18" s="4" t="str">
        <f t="shared" si="13"/>
        <v>980149593788</v>
      </c>
      <c r="O18" s="4" t="str">
        <f t="shared" si="4"/>
        <v>300100052893</v>
      </c>
    </row>
    <row r="19" spans="1:15">
      <c r="A19" s="4" t="str">
        <f>"20200806"</f>
        <v>20200806</v>
      </c>
      <c r="B19" s="4" t="str">
        <f>"20200806"</f>
        <v>20200806</v>
      </c>
      <c r="C19" s="4" t="str">
        <f t="shared" si="14"/>
        <v>基金赎回拨入</v>
      </c>
      <c r="D19" s="4" t="str">
        <f t="shared" si="11"/>
        <v>AA0007</v>
      </c>
      <c r="E19" s="4" t="str">
        <f t="shared" si="12"/>
        <v>银河水星1号集合</v>
      </c>
      <c r="F19" s="4">
        <v>0</v>
      </c>
      <c r="G19" s="4">
        <v>0</v>
      </c>
      <c r="H19" s="4">
        <v>0</v>
      </c>
      <c r="I19" s="4">
        <v>0.03</v>
      </c>
      <c r="J19" s="4">
        <v>5</v>
      </c>
      <c r="K19" s="4">
        <v>0</v>
      </c>
      <c r="L19" s="4" t="str">
        <f t="shared" si="2"/>
        <v>人民币</v>
      </c>
      <c r="N19" s="4" t="str">
        <f t="shared" si="13"/>
        <v>980149593788</v>
      </c>
      <c r="O19" s="4" t="str">
        <f t="shared" si="4"/>
        <v>300100052893</v>
      </c>
    </row>
    <row r="20" spans="1:15">
      <c r="A20" s="4" t="str">
        <f>"20200807"</f>
        <v>20200807</v>
      </c>
      <c r="B20" s="4" t="str">
        <f>"20200807"</f>
        <v>20200807</v>
      </c>
      <c r="C20" s="4" t="str">
        <f t="shared" si="14"/>
        <v>基金赎回拨入</v>
      </c>
      <c r="D20" s="4" t="str">
        <f t="shared" si="11"/>
        <v>AA0007</v>
      </c>
      <c r="E20" s="4" t="str">
        <f t="shared" si="12"/>
        <v>银河水星1号集合</v>
      </c>
      <c r="F20" s="4">
        <v>0</v>
      </c>
      <c r="G20" s="4">
        <v>0</v>
      </c>
      <c r="H20" s="4">
        <v>0</v>
      </c>
      <c r="I20" s="4">
        <v>0.03</v>
      </c>
      <c r="J20" s="4">
        <v>5</v>
      </c>
      <c r="K20" s="4">
        <v>0</v>
      </c>
      <c r="L20" s="4" t="str">
        <f t="shared" si="2"/>
        <v>人民币</v>
      </c>
      <c r="N20" s="4" t="str">
        <f t="shared" si="13"/>
        <v>980149593788</v>
      </c>
      <c r="O20" s="4" t="str">
        <f t="shared" si="4"/>
        <v>300100052893</v>
      </c>
    </row>
    <row r="21" spans="1:15">
      <c r="A21" s="4" t="str">
        <f>"20200810"</f>
        <v>20200810</v>
      </c>
      <c r="B21" s="4" t="str">
        <f>"20200810"</f>
        <v>20200810</v>
      </c>
      <c r="C21" s="4" t="str">
        <f t="shared" si="14"/>
        <v>基金赎回拨入</v>
      </c>
      <c r="D21" s="4" t="str">
        <f t="shared" si="11"/>
        <v>AA0007</v>
      </c>
      <c r="E21" s="4" t="str">
        <f t="shared" si="12"/>
        <v>银河水星1号集合</v>
      </c>
      <c r="F21" s="4">
        <v>0</v>
      </c>
      <c r="G21" s="4">
        <v>0</v>
      </c>
      <c r="H21" s="4">
        <v>0</v>
      </c>
      <c r="I21" s="4">
        <v>0.03</v>
      </c>
      <c r="J21" s="4">
        <v>5</v>
      </c>
      <c r="K21" s="4">
        <v>0</v>
      </c>
      <c r="L21" s="4" t="str">
        <f t="shared" si="2"/>
        <v>人民币</v>
      </c>
      <c r="N21" s="4" t="str">
        <f t="shared" si="13"/>
        <v>980149593788</v>
      </c>
      <c r="O21" s="4" t="str">
        <f t="shared" si="4"/>
        <v>300100052893</v>
      </c>
    </row>
    <row r="22" spans="1:15">
      <c r="A22" s="4" t="str">
        <f>"20200811"</f>
        <v>20200811</v>
      </c>
      <c r="B22" s="4" t="str">
        <f>"20200811"</f>
        <v>20200811</v>
      </c>
      <c r="C22" s="4" t="str">
        <f t="shared" si="14"/>
        <v>基金赎回拨入</v>
      </c>
      <c r="D22" s="4" t="str">
        <f t="shared" si="11"/>
        <v>AA0007</v>
      </c>
      <c r="E22" s="4" t="str">
        <f t="shared" si="12"/>
        <v>银河水星1号集合</v>
      </c>
      <c r="F22" s="4">
        <v>0</v>
      </c>
      <c r="G22" s="4">
        <v>0</v>
      </c>
      <c r="H22" s="4">
        <v>0</v>
      </c>
      <c r="I22" s="4">
        <v>0.08</v>
      </c>
      <c r="J22" s="4">
        <v>5</v>
      </c>
      <c r="K22" s="4">
        <v>0</v>
      </c>
      <c r="L22" s="4" t="str">
        <f t="shared" si="2"/>
        <v>人民币</v>
      </c>
      <c r="N22" s="4" t="str">
        <f t="shared" si="13"/>
        <v>980149593788</v>
      </c>
      <c r="O22" s="4" t="str">
        <f t="shared" si="4"/>
        <v>300100052893</v>
      </c>
    </row>
    <row r="23" spans="1:15">
      <c r="A23" s="4" t="str">
        <f>"20200812"</f>
        <v>20200812</v>
      </c>
      <c r="B23" s="4" t="str">
        <f>"20200812"</f>
        <v>20200812</v>
      </c>
      <c r="C23" s="4" t="str">
        <f t="shared" si="14"/>
        <v>基金赎回拨入</v>
      </c>
      <c r="D23" s="4" t="str">
        <f t="shared" si="11"/>
        <v>AA0007</v>
      </c>
      <c r="E23" s="4" t="str">
        <f t="shared" si="12"/>
        <v>银河水星1号集合</v>
      </c>
      <c r="F23" s="4">
        <v>0</v>
      </c>
      <c r="G23" s="4">
        <v>0</v>
      </c>
      <c r="H23" s="4">
        <v>0</v>
      </c>
      <c r="I23" s="4">
        <v>0.03</v>
      </c>
      <c r="J23" s="4">
        <v>5</v>
      </c>
      <c r="K23" s="4">
        <v>0</v>
      </c>
      <c r="L23" s="4" t="str">
        <f t="shared" si="2"/>
        <v>人民币</v>
      </c>
      <c r="N23" s="4" t="str">
        <f t="shared" si="13"/>
        <v>980149593788</v>
      </c>
      <c r="O23" s="4" t="str">
        <f t="shared" si="4"/>
        <v>300100052893</v>
      </c>
    </row>
    <row r="24" spans="1:15">
      <c r="A24" s="4" t="str">
        <f>"20200813"</f>
        <v>20200813</v>
      </c>
      <c r="B24" s="4" t="str">
        <f>"20200813"</f>
        <v>20200813</v>
      </c>
      <c r="C24" s="4" t="str">
        <f t="shared" si="14"/>
        <v>基金赎回拨入</v>
      </c>
      <c r="D24" s="4" t="str">
        <f t="shared" si="11"/>
        <v>AA0007</v>
      </c>
      <c r="E24" s="4" t="str">
        <f t="shared" si="12"/>
        <v>银河水星1号集合</v>
      </c>
      <c r="F24" s="4">
        <v>0</v>
      </c>
      <c r="G24" s="4">
        <v>0</v>
      </c>
      <c r="H24" s="4">
        <v>0</v>
      </c>
      <c r="I24" s="4">
        <v>0.03</v>
      </c>
      <c r="J24" s="4">
        <v>5</v>
      </c>
      <c r="K24" s="4">
        <v>0</v>
      </c>
      <c r="L24" s="4" t="str">
        <f t="shared" si="2"/>
        <v>人民币</v>
      </c>
      <c r="N24" s="4" t="str">
        <f t="shared" si="13"/>
        <v>980149593788</v>
      </c>
      <c r="O24" s="4" t="str">
        <f t="shared" si="4"/>
        <v>300100052893</v>
      </c>
    </row>
    <row r="25" spans="1:15">
      <c r="A25" s="4" t="str">
        <f>"20200814"</f>
        <v>20200814</v>
      </c>
      <c r="B25" s="4" t="str">
        <f>"20200814"</f>
        <v>20200814</v>
      </c>
      <c r="C25" s="4" t="str">
        <f t="shared" si="14"/>
        <v>基金赎回拨入</v>
      </c>
      <c r="D25" s="4" t="str">
        <f t="shared" si="11"/>
        <v>AA0007</v>
      </c>
      <c r="E25" s="4" t="str">
        <f t="shared" si="12"/>
        <v>银河水星1号集合</v>
      </c>
      <c r="F25" s="4">
        <v>0</v>
      </c>
      <c r="G25" s="4">
        <v>0</v>
      </c>
      <c r="H25" s="4">
        <v>0</v>
      </c>
      <c r="I25" s="4">
        <v>0.03</v>
      </c>
      <c r="J25" s="4">
        <v>5</v>
      </c>
      <c r="K25" s="4">
        <v>0</v>
      </c>
      <c r="L25" s="4" t="str">
        <f t="shared" si="2"/>
        <v>人民币</v>
      </c>
      <c r="N25" s="4" t="str">
        <f t="shared" si="13"/>
        <v>980149593788</v>
      </c>
      <c r="O25" s="4" t="str">
        <f t="shared" si="4"/>
        <v>300100052893</v>
      </c>
    </row>
    <row r="26" spans="1:15">
      <c r="A26" s="4" t="str">
        <f>"20200817"</f>
        <v>20200817</v>
      </c>
      <c r="B26" s="4" t="str">
        <f>"20200817"</f>
        <v>20200817</v>
      </c>
      <c r="C26" s="4" t="str">
        <f t="shared" si="14"/>
        <v>基金赎回拨入</v>
      </c>
      <c r="D26" s="4" t="str">
        <f t="shared" si="11"/>
        <v>AA0007</v>
      </c>
      <c r="E26" s="4" t="str">
        <f t="shared" si="12"/>
        <v>银河水星1号集合</v>
      </c>
      <c r="F26" s="4">
        <v>0</v>
      </c>
      <c r="G26" s="4">
        <v>0</v>
      </c>
      <c r="H26" s="4">
        <v>0</v>
      </c>
      <c r="I26" s="4">
        <v>0.03</v>
      </c>
      <c r="J26" s="4">
        <v>5</v>
      </c>
      <c r="K26" s="4">
        <v>0</v>
      </c>
      <c r="L26" s="4" t="str">
        <f t="shared" si="2"/>
        <v>人民币</v>
      </c>
      <c r="N26" s="4" t="str">
        <f t="shared" si="13"/>
        <v>980149593788</v>
      </c>
      <c r="O26" s="4" t="str">
        <f t="shared" si="4"/>
        <v>300100052893</v>
      </c>
    </row>
    <row r="27" spans="1:15">
      <c r="A27" s="4" t="str">
        <f>"20200818"</f>
        <v>20200818</v>
      </c>
      <c r="B27" s="4" t="str">
        <f>"20200818"</f>
        <v>20200818</v>
      </c>
      <c r="C27" s="4" t="str">
        <f t="shared" si="14"/>
        <v>基金赎回拨入</v>
      </c>
      <c r="D27" s="4" t="str">
        <f t="shared" si="11"/>
        <v>AA0007</v>
      </c>
      <c r="E27" s="4" t="str">
        <f t="shared" si="12"/>
        <v>银河水星1号集合</v>
      </c>
      <c r="F27" s="4">
        <v>0</v>
      </c>
      <c r="G27" s="4">
        <v>0</v>
      </c>
      <c r="H27" s="4">
        <v>0</v>
      </c>
      <c r="I27" s="4">
        <v>0.08</v>
      </c>
      <c r="J27" s="4">
        <v>5</v>
      </c>
      <c r="K27" s="4">
        <v>0</v>
      </c>
      <c r="L27" s="4" t="str">
        <f t="shared" si="2"/>
        <v>人民币</v>
      </c>
      <c r="N27" s="4" t="str">
        <f t="shared" si="13"/>
        <v>980149593788</v>
      </c>
      <c r="O27" s="4" t="str">
        <f t="shared" si="4"/>
        <v>300100052893</v>
      </c>
    </row>
    <row r="28" spans="1:15">
      <c r="A28" s="4" t="str">
        <f>"20200819"</f>
        <v>20200819</v>
      </c>
      <c r="B28" s="4" t="str">
        <f>"20200819"</f>
        <v>20200819</v>
      </c>
      <c r="C28" s="4" t="str">
        <f t="shared" si="14"/>
        <v>基金赎回拨入</v>
      </c>
      <c r="D28" s="4" t="str">
        <f t="shared" si="11"/>
        <v>AA0007</v>
      </c>
      <c r="E28" s="4" t="str">
        <f t="shared" si="12"/>
        <v>银河水星1号集合</v>
      </c>
      <c r="F28" s="4">
        <v>0</v>
      </c>
      <c r="G28" s="4">
        <v>0</v>
      </c>
      <c r="H28" s="4">
        <v>0</v>
      </c>
      <c r="I28" s="4">
        <v>0.04</v>
      </c>
      <c r="J28" s="4">
        <v>5</v>
      </c>
      <c r="K28" s="4">
        <v>0</v>
      </c>
      <c r="L28" s="4" t="str">
        <f t="shared" si="2"/>
        <v>人民币</v>
      </c>
      <c r="N28" s="4" t="str">
        <f t="shared" si="13"/>
        <v>980149593788</v>
      </c>
      <c r="O28" s="4" t="str">
        <f t="shared" si="4"/>
        <v>300100052893</v>
      </c>
    </row>
    <row r="29" spans="1:15">
      <c r="A29" s="4" t="str">
        <f>"20200820"</f>
        <v>20200820</v>
      </c>
      <c r="B29" s="4" t="str">
        <f>"20200820"</f>
        <v>20200820</v>
      </c>
      <c r="C29" s="4" t="str">
        <f t="shared" si="14"/>
        <v>基金赎回拨入</v>
      </c>
      <c r="D29" s="4" t="str">
        <f t="shared" si="11"/>
        <v>AA0007</v>
      </c>
      <c r="E29" s="4" t="str">
        <f t="shared" si="12"/>
        <v>银河水星1号集合</v>
      </c>
      <c r="F29" s="4">
        <v>0</v>
      </c>
      <c r="G29" s="4">
        <v>12674</v>
      </c>
      <c r="H29" s="4">
        <v>0</v>
      </c>
      <c r="I29" s="4">
        <v>12674.29</v>
      </c>
      <c r="J29" s="4">
        <v>12679.26</v>
      </c>
      <c r="K29" s="4">
        <v>0</v>
      </c>
      <c r="L29" s="4" t="str">
        <f t="shared" si="2"/>
        <v>人民币</v>
      </c>
      <c r="N29" s="4" t="str">
        <f t="shared" si="13"/>
        <v>980149593788</v>
      </c>
      <c r="O29" s="4" t="str">
        <f t="shared" si="4"/>
        <v>300100052893</v>
      </c>
    </row>
    <row r="30" spans="1:15">
      <c r="A30" s="4" t="str">
        <f>"20200821"</f>
        <v>20200821</v>
      </c>
      <c r="B30" s="4" t="str">
        <f>"20200821"</f>
        <v>20200821</v>
      </c>
      <c r="C30" s="4" t="str">
        <f>"基金申购拨出"</f>
        <v>基金申购拨出</v>
      </c>
      <c r="D30" s="4" t="str">
        <f t="shared" si="11"/>
        <v>AA0007</v>
      </c>
      <c r="E30" s="4" t="str">
        <f t="shared" si="12"/>
        <v>银河水星1号集合</v>
      </c>
      <c r="F30" s="4">
        <v>0</v>
      </c>
      <c r="G30" s="4">
        <v>0</v>
      </c>
      <c r="H30" s="4">
        <v>0</v>
      </c>
      <c r="I30" s="4">
        <v>-12674.23</v>
      </c>
      <c r="J30" s="4">
        <v>5</v>
      </c>
      <c r="K30" s="4">
        <v>0</v>
      </c>
      <c r="L30" s="4" t="str">
        <f t="shared" si="2"/>
        <v>人民币</v>
      </c>
      <c r="N30" s="4" t="str">
        <f t="shared" si="13"/>
        <v>980149593788</v>
      </c>
      <c r="O30" s="4" t="str">
        <f t="shared" si="4"/>
        <v>300100052893</v>
      </c>
    </row>
    <row r="31" spans="1:15">
      <c r="A31" s="4" t="str">
        <f>"20200824"</f>
        <v>20200824</v>
      </c>
      <c r="B31" s="4" t="str">
        <f>"20200824"</f>
        <v>20200824</v>
      </c>
      <c r="C31" s="4" t="str">
        <f t="shared" ref="C31:C35" si="15">"基金赎回拨入"</f>
        <v>基金赎回拨入</v>
      </c>
      <c r="D31" s="4" t="str">
        <f t="shared" si="11"/>
        <v>AA0007</v>
      </c>
      <c r="E31" s="4" t="str">
        <f t="shared" si="12"/>
        <v>银河水星1号集合</v>
      </c>
      <c r="F31" s="4">
        <v>0</v>
      </c>
      <c r="G31" s="4">
        <v>0</v>
      </c>
      <c r="H31" s="4">
        <v>0</v>
      </c>
      <c r="I31" s="4">
        <v>0.03</v>
      </c>
      <c r="J31" s="4">
        <v>5</v>
      </c>
      <c r="K31" s="4">
        <v>0</v>
      </c>
      <c r="L31" s="4" t="str">
        <f t="shared" si="2"/>
        <v>人民币</v>
      </c>
      <c r="N31" s="4" t="str">
        <f t="shared" si="13"/>
        <v>980149593788</v>
      </c>
      <c r="O31" s="4" t="str">
        <f t="shared" si="4"/>
        <v>300100052893</v>
      </c>
    </row>
    <row r="32" spans="1:15">
      <c r="A32" s="4" t="str">
        <f>"20200825"</f>
        <v>20200825</v>
      </c>
      <c r="B32" s="4" t="str">
        <f>"20200825"</f>
        <v>20200825</v>
      </c>
      <c r="C32" s="4" t="str">
        <f t="shared" si="15"/>
        <v>基金赎回拨入</v>
      </c>
      <c r="D32" s="4" t="str">
        <f t="shared" si="11"/>
        <v>AA0007</v>
      </c>
      <c r="E32" s="4" t="str">
        <f t="shared" si="12"/>
        <v>银河水星1号集合</v>
      </c>
      <c r="F32" s="4">
        <v>0</v>
      </c>
      <c r="G32" s="4">
        <v>12653</v>
      </c>
      <c r="H32" s="4">
        <v>0</v>
      </c>
      <c r="I32" s="4">
        <v>12653.08</v>
      </c>
      <c r="J32" s="4">
        <v>12658</v>
      </c>
      <c r="K32" s="4">
        <v>0</v>
      </c>
      <c r="L32" s="4" t="str">
        <f t="shared" si="2"/>
        <v>人民币</v>
      </c>
      <c r="N32" s="4" t="str">
        <f t="shared" si="13"/>
        <v>980149593788</v>
      </c>
      <c r="O32" s="4" t="str">
        <f t="shared" si="4"/>
        <v>300100052893</v>
      </c>
    </row>
    <row r="33" spans="1:15">
      <c r="A33" s="4" t="str">
        <f>"20200825"</f>
        <v>20200825</v>
      </c>
      <c r="B33" s="4" t="str">
        <f>"20200825"</f>
        <v>20200825</v>
      </c>
      <c r="C33" s="4" t="str">
        <f>"证券买入"</f>
        <v>证券买入</v>
      </c>
      <c r="D33" s="4" t="str">
        <f>"000601"</f>
        <v>000601</v>
      </c>
      <c r="E33" s="4" t="str">
        <f>"韶能股份"</f>
        <v>韶能股份</v>
      </c>
      <c r="F33" s="4">
        <v>7.44</v>
      </c>
      <c r="G33" s="4">
        <v>1700</v>
      </c>
      <c r="H33" s="4">
        <v>12648</v>
      </c>
      <c r="I33" s="4">
        <v>-12653</v>
      </c>
      <c r="J33" s="4">
        <v>5</v>
      </c>
      <c r="K33" s="4">
        <v>1700</v>
      </c>
      <c r="L33" s="4" t="str">
        <f t="shared" si="2"/>
        <v>人民币</v>
      </c>
      <c r="M33" s="4" t="str">
        <f>"T4006548"</f>
        <v>T4006548</v>
      </c>
      <c r="N33" s="4" t="str">
        <f>"0149593788"</f>
        <v>0149593788</v>
      </c>
      <c r="O33" s="4" t="str">
        <f t="shared" si="4"/>
        <v>300100052893</v>
      </c>
    </row>
    <row r="34" spans="1:15">
      <c r="A34" s="4" t="str">
        <f>"20200826"</f>
        <v>20200826</v>
      </c>
      <c r="B34" s="4" t="str">
        <f>"20200826"</f>
        <v>20200826</v>
      </c>
      <c r="C34" s="4" t="str">
        <f t="shared" si="15"/>
        <v>基金赎回拨入</v>
      </c>
      <c r="D34" s="4" t="str">
        <f t="shared" ref="D34:D38" si="16">"AA0007"</f>
        <v>AA0007</v>
      </c>
      <c r="E34" s="4" t="str">
        <f t="shared" ref="E34:E38" si="17">"银河水星1号集合"</f>
        <v>银河水星1号集合</v>
      </c>
      <c r="F34" s="4">
        <v>0</v>
      </c>
      <c r="G34" s="4">
        <v>0</v>
      </c>
      <c r="H34" s="4">
        <v>0</v>
      </c>
      <c r="I34" s="4">
        <v>0.03</v>
      </c>
      <c r="J34" s="4">
        <v>5</v>
      </c>
      <c r="K34" s="4">
        <v>0</v>
      </c>
      <c r="L34" s="4" t="str">
        <f t="shared" si="2"/>
        <v>人民币</v>
      </c>
      <c r="N34" s="4" t="str">
        <f t="shared" ref="N34:N38" si="18">"980149593788"</f>
        <v>980149593788</v>
      </c>
      <c r="O34" s="4" t="str">
        <f t="shared" si="4"/>
        <v>300100052893</v>
      </c>
    </row>
    <row r="35" spans="1:15">
      <c r="A35" s="4" t="str">
        <f>"20200827"</f>
        <v>20200827</v>
      </c>
      <c r="B35" s="4" t="str">
        <f>"20200827"</f>
        <v>20200827</v>
      </c>
      <c r="C35" s="4" t="str">
        <f t="shared" si="15"/>
        <v>基金赎回拨入</v>
      </c>
      <c r="D35" s="4" t="str">
        <f t="shared" si="16"/>
        <v>AA0007</v>
      </c>
      <c r="E35" s="4" t="str">
        <f t="shared" si="17"/>
        <v>银河水星1号集合</v>
      </c>
      <c r="F35" s="4">
        <v>0</v>
      </c>
      <c r="G35" s="4">
        <v>0</v>
      </c>
      <c r="H35" s="4">
        <v>0</v>
      </c>
      <c r="I35" s="4">
        <v>0.03</v>
      </c>
      <c r="J35" s="4">
        <v>5</v>
      </c>
      <c r="K35" s="4">
        <v>0</v>
      </c>
      <c r="L35" s="4" t="str">
        <f t="shared" si="2"/>
        <v>人民币</v>
      </c>
      <c r="N35" s="4" t="str">
        <f t="shared" si="18"/>
        <v>980149593788</v>
      </c>
      <c r="O35" s="4" t="str">
        <f t="shared" si="4"/>
        <v>300100052893</v>
      </c>
    </row>
    <row r="36" spans="1:15">
      <c r="A36" s="4" t="str">
        <f>"20200827"</f>
        <v>20200827</v>
      </c>
      <c r="B36" s="4" t="str">
        <f>"20200827"</f>
        <v>20200827</v>
      </c>
      <c r="C36" s="4" t="str">
        <f>"红利入账"</f>
        <v>红利入账</v>
      </c>
      <c r="D36" s="4" t="str">
        <f>"000601"</f>
        <v>000601</v>
      </c>
      <c r="E36" s="4" t="str">
        <f>"韶能股份"</f>
        <v>韶能股份</v>
      </c>
      <c r="F36" s="4">
        <v>0</v>
      </c>
      <c r="G36" s="4">
        <v>0</v>
      </c>
      <c r="H36" s="4">
        <v>425</v>
      </c>
      <c r="I36" s="4">
        <v>425</v>
      </c>
      <c r="J36" s="4">
        <v>430</v>
      </c>
      <c r="K36" s="4">
        <v>0</v>
      </c>
      <c r="L36" s="4" t="str">
        <f t="shared" si="2"/>
        <v>人民币</v>
      </c>
      <c r="N36" s="4" t="str">
        <f>"0149593788"</f>
        <v>0149593788</v>
      </c>
      <c r="O36" s="4" t="str">
        <f t="shared" si="4"/>
        <v>300100052893</v>
      </c>
    </row>
    <row r="37" spans="1:15">
      <c r="A37" s="4" t="str">
        <f>"20200902"</f>
        <v>20200902</v>
      </c>
      <c r="B37" s="4" t="str">
        <f>"20200902"</f>
        <v>20200902</v>
      </c>
      <c r="C37" s="4" t="str">
        <f>"银行转证券"</f>
        <v>银行转证券</v>
      </c>
      <c r="F37" s="4">
        <v>0</v>
      </c>
      <c r="G37" s="4">
        <v>0</v>
      </c>
      <c r="H37" s="4">
        <v>0</v>
      </c>
      <c r="I37" s="4">
        <v>20000</v>
      </c>
      <c r="J37" s="4">
        <v>20429.83</v>
      </c>
      <c r="K37" s="4">
        <v>0</v>
      </c>
      <c r="L37" s="4" t="str">
        <f t="shared" si="2"/>
        <v>人民币</v>
      </c>
      <c r="O37" s="4" t="str">
        <f t="shared" si="4"/>
        <v>300100052893</v>
      </c>
    </row>
    <row r="38" spans="1:15">
      <c r="A38" s="4" t="str">
        <f>"20200902"</f>
        <v>20200902</v>
      </c>
      <c r="B38" s="4" t="str">
        <f>"20200902"</f>
        <v>20200902</v>
      </c>
      <c r="C38" s="4" t="str">
        <f>"基金申购拨出"</f>
        <v>基金申购拨出</v>
      </c>
      <c r="D38" s="4" t="str">
        <f t="shared" si="16"/>
        <v>AA0007</v>
      </c>
      <c r="E38" s="4" t="str">
        <f t="shared" si="17"/>
        <v>银河水星1号集合</v>
      </c>
      <c r="F38" s="4">
        <v>0</v>
      </c>
      <c r="G38" s="4">
        <v>0</v>
      </c>
      <c r="H38" s="4">
        <v>0</v>
      </c>
      <c r="I38" s="4">
        <v>-1452.34</v>
      </c>
      <c r="J38" s="4">
        <v>18977.49</v>
      </c>
      <c r="K38" s="4">
        <v>0</v>
      </c>
      <c r="L38" s="4" t="str">
        <f t="shared" si="2"/>
        <v>人民币</v>
      </c>
      <c r="N38" s="4" t="str">
        <f t="shared" si="18"/>
        <v>980149593788</v>
      </c>
      <c r="O38" s="4" t="str">
        <f t="shared" si="4"/>
        <v>300100052893</v>
      </c>
    </row>
    <row r="39" spans="1:15">
      <c r="A39" s="4" t="str">
        <f>"20200918"</f>
        <v>20200918</v>
      </c>
      <c r="B39" s="4" t="str">
        <f>"20200918"</f>
        <v>20200918</v>
      </c>
      <c r="C39" s="4" t="str">
        <f>"利息归本"</f>
        <v>利息归本</v>
      </c>
      <c r="F39" s="4">
        <v>0</v>
      </c>
      <c r="G39" s="4">
        <v>0</v>
      </c>
      <c r="H39" s="4">
        <v>0</v>
      </c>
      <c r="I39" s="4">
        <v>2.83</v>
      </c>
      <c r="J39" s="4">
        <v>558.38</v>
      </c>
      <c r="K39" s="4">
        <v>0</v>
      </c>
      <c r="L39" s="4" t="str">
        <f t="shared" si="2"/>
        <v>人民币</v>
      </c>
      <c r="O39" s="4" t="str">
        <f t="shared" si="4"/>
        <v>300100052893</v>
      </c>
    </row>
    <row r="40" spans="1:15">
      <c r="A40" s="4" t="str">
        <f>"20200922"</f>
        <v>20200922</v>
      </c>
      <c r="B40" s="4" t="str">
        <f>"0"</f>
        <v>0</v>
      </c>
      <c r="C40" s="4" t="str">
        <f>"基金红利拨入"</f>
        <v>基金红利拨入</v>
      </c>
      <c r="D40" s="4" t="str">
        <f>"AA0007"</f>
        <v>AA0007</v>
      </c>
      <c r="E40" s="4" t="str">
        <f>"银河水星1号集合"</f>
        <v>银河水星1号集合</v>
      </c>
      <c r="F40" s="4">
        <v>0</v>
      </c>
      <c r="G40" s="4">
        <v>0</v>
      </c>
      <c r="H40" s="4">
        <v>29.46</v>
      </c>
      <c r="I40" s="4">
        <v>29.46</v>
      </c>
      <c r="J40" s="4">
        <v>587.71</v>
      </c>
      <c r="K40" s="4">
        <v>0</v>
      </c>
      <c r="L40" s="4" t="str">
        <f t="shared" si="2"/>
        <v>人民币</v>
      </c>
      <c r="N40" s="4" t="str">
        <f>"980149593788"</f>
        <v>980149593788</v>
      </c>
      <c r="O40" s="4" t="str">
        <f t="shared" si="4"/>
        <v>300100052893</v>
      </c>
    </row>
    <row r="41" spans="1:15">
      <c r="A41" s="4" t="str">
        <f>"20200923"</f>
        <v>20200923</v>
      </c>
      <c r="B41" s="4" t="str">
        <f>"20200923"</f>
        <v>20200923</v>
      </c>
      <c r="C41" s="4" t="str">
        <f>"银行转证券"</f>
        <v>银行转证券</v>
      </c>
      <c r="F41" s="4">
        <v>0</v>
      </c>
      <c r="G41" s="4">
        <v>0</v>
      </c>
      <c r="H41" s="4">
        <v>0</v>
      </c>
      <c r="I41" s="4">
        <v>30000</v>
      </c>
      <c r="J41" s="4">
        <v>30587.68</v>
      </c>
      <c r="K41" s="4">
        <v>0</v>
      </c>
      <c r="L41" s="4" t="str">
        <f t="shared" si="2"/>
        <v>人民币</v>
      </c>
      <c r="O41" s="4" t="str">
        <f t="shared" si="4"/>
        <v>300100052893</v>
      </c>
    </row>
    <row r="42" spans="1:15">
      <c r="A42" s="4" t="str">
        <f>"20200923"</f>
        <v>20200923</v>
      </c>
      <c r="B42" s="4" t="str">
        <f>"20200923"</f>
        <v>20200923</v>
      </c>
      <c r="C42" s="4" t="str">
        <f>"基金申购拨出"</f>
        <v>基金申购拨出</v>
      </c>
      <c r="D42" s="4" t="str">
        <f>"AA0007"</f>
        <v>AA0007</v>
      </c>
      <c r="E42" s="4" t="str">
        <f>"银河水星1号集合"</f>
        <v>银河水星1号集合</v>
      </c>
      <c r="F42" s="4">
        <v>0</v>
      </c>
      <c r="G42" s="4">
        <v>0</v>
      </c>
      <c r="H42" s="4">
        <v>0</v>
      </c>
      <c r="I42" s="4">
        <v>-1845.04</v>
      </c>
      <c r="J42" s="4">
        <v>28742.64</v>
      </c>
      <c r="K42" s="4">
        <v>0</v>
      </c>
      <c r="L42" s="4" t="str">
        <f t="shared" si="2"/>
        <v>人民币</v>
      </c>
      <c r="N42" s="4" t="str">
        <f>"980149593788"</f>
        <v>980149593788</v>
      </c>
      <c r="O42" s="4" t="str">
        <f t="shared" si="4"/>
        <v>300100052893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B72"/>
  <sheetViews>
    <sheetView topLeftCell="A7" workbookViewId="0">
      <selection activeCell="A3" sqref="A3:O72"/>
    </sheetView>
  </sheetViews>
  <sheetFormatPr defaultColWidth="9.55833333333333" defaultRowHeight="13.5"/>
  <cols>
    <col min="1" max="2" width="9.55833333333333" style="4"/>
    <col min="3" max="4" width="9.55833333333333" style="4" hidden="1" customWidth="1"/>
    <col min="5" max="11" width="9.55833333333333" style="4"/>
    <col min="12" max="13" width="9.55833333333333" style="4" hidden="1" customWidth="1"/>
    <col min="14" max="15" width="9.55833333333333" style="4"/>
    <col min="16" max="24" width="9.55833333333333" style="4" hidden="1" customWidth="1"/>
    <col min="25" max="16384" width="9.55833333333333" style="4"/>
  </cols>
  <sheetData>
    <row r="2" spans="1:28">
      <c r="A2" s="4" t="str">
        <f>"交收日期"</f>
        <v>交收日期</v>
      </c>
      <c r="B2" s="4" t="str">
        <f>"清算日期"</f>
        <v>清算日期</v>
      </c>
      <c r="C2" s="4" t="str">
        <f>"委托日期"</f>
        <v>委托日期</v>
      </c>
      <c r="D2" s="4" t="str">
        <f>"委托时间"</f>
        <v>委托时间</v>
      </c>
      <c r="E2" s="4" t="str">
        <f>"业务类型"</f>
        <v>业务类型</v>
      </c>
      <c r="F2" s="4" t="str">
        <f>"证券代码"</f>
        <v>证券代码</v>
      </c>
      <c r="G2" s="4" t="str">
        <f>"证券名称"</f>
        <v>证券名称</v>
      </c>
      <c r="H2" s="4" t="str">
        <f>"成交价格"</f>
        <v>成交价格</v>
      </c>
      <c r="I2" s="4" t="str">
        <f>"成交数量"</f>
        <v>成交数量</v>
      </c>
      <c r="J2" s="4" t="str">
        <f>"成交金额"</f>
        <v>成交金额</v>
      </c>
      <c r="K2" s="4" t="str">
        <f>"发生金额"</f>
        <v>发生金额</v>
      </c>
      <c r="L2" s="4" t="str">
        <f>"委托数量"</f>
        <v>委托数量</v>
      </c>
      <c r="M2" s="4" t="str">
        <f>"委托价格(港币)"</f>
        <v>委托价格(港币)</v>
      </c>
      <c r="N2" s="4" t="str">
        <f>"剩余金额"</f>
        <v>剩余金额</v>
      </c>
      <c r="O2" s="4" t="str">
        <f>"证券数量"</f>
        <v>证券数量</v>
      </c>
      <c r="P2" s="4" t="str">
        <f>"印花税"</f>
        <v>印花税</v>
      </c>
      <c r="Q2" s="4" t="str">
        <f>"手续费"</f>
        <v>手续费</v>
      </c>
      <c r="R2" s="4" t="str">
        <f>"股份交收费"</f>
        <v>股份交收费</v>
      </c>
      <c r="S2" s="4" t="str">
        <f>"交易费"</f>
        <v>交易费</v>
      </c>
      <c r="T2" s="4" t="str">
        <f>"前台费"</f>
        <v>前台费</v>
      </c>
      <c r="U2" s="4" t="str">
        <f>"交易系统使用费"</f>
        <v>交易系统使用费</v>
      </c>
      <c r="V2" s="4" t="str">
        <f>"交易征费"</f>
        <v>交易征费</v>
      </c>
      <c r="W2" s="4" t="str">
        <f>"其他费"</f>
        <v>其他费</v>
      </c>
      <c r="X2" s="4" t="str">
        <f>"结算汇率"</f>
        <v>结算汇率</v>
      </c>
      <c r="Y2" s="4" t="str">
        <f>"协议编号"</f>
        <v>协议编号</v>
      </c>
      <c r="Z2" s="4" t="str">
        <f>"成交时间"</f>
        <v>成交时间</v>
      </c>
      <c r="AA2" s="4" t="str">
        <f>"币种"</f>
        <v>币种</v>
      </c>
      <c r="AB2" s="4" t="str">
        <f>"股东代码"</f>
        <v>股东代码</v>
      </c>
    </row>
    <row r="3" spans="1:28">
      <c r="A3" s="4" t="str">
        <f>"20200702"</f>
        <v>20200702</v>
      </c>
      <c r="B3" s="4" t="str">
        <f>"20200702"</f>
        <v>20200702</v>
      </c>
      <c r="C3" s="4" t="str">
        <f t="shared" ref="C3:C8" si="0">"0"</f>
        <v>0</v>
      </c>
      <c r="D3" s="4" t="str">
        <f t="shared" ref="D3:D8" si="1">"00:00:00"</f>
        <v>00:00:00</v>
      </c>
      <c r="E3" s="4" t="str">
        <f t="shared" ref="E3:E8" si="2">"港股通组合费"</f>
        <v>港股通组合费</v>
      </c>
      <c r="F3" s="4" t="str">
        <f t="shared" ref="F3:F8" si="3">""</f>
        <v/>
      </c>
      <c r="G3" s="4" t="str">
        <f t="shared" ref="G3:G8" si="4">""</f>
        <v/>
      </c>
      <c r="H3" s="4" t="str">
        <f t="shared" ref="H3:H8" si="5">"0.00"</f>
        <v>0.00</v>
      </c>
      <c r="I3" s="4" t="str">
        <f t="shared" ref="I3:I8" si="6">"0"</f>
        <v>0</v>
      </c>
      <c r="J3" s="4" t="str">
        <f>"0.06"</f>
        <v>0.06</v>
      </c>
      <c r="K3" s="4" t="str">
        <f>"-0.06"</f>
        <v>-0.06</v>
      </c>
      <c r="L3" s="4" t="str">
        <f t="shared" ref="L3:W3" si="7">"0.00"</f>
        <v>0.00</v>
      </c>
      <c r="M3" s="4" t="str">
        <f t="shared" ref="M3:M8" si="8">"0.000"</f>
        <v>0.000</v>
      </c>
      <c r="N3" s="4" t="str">
        <f>"4.94"</f>
        <v>4.94</v>
      </c>
      <c r="O3" s="4" t="str">
        <f t="shared" ref="O3:O8" si="9">"0"</f>
        <v>0</v>
      </c>
      <c r="P3" s="4" t="str">
        <f t="shared" si="7"/>
        <v>0.00</v>
      </c>
      <c r="Q3" s="4" t="str">
        <f t="shared" si="7"/>
        <v>0.00</v>
      </c>
      <c r="R3" s="4" t="str">
        <f t="shared" si="7"/>
        <v>0.00</v>
      </c>
      <c r="S3" s="4" t="str">
        <f t="shared" si="7"/>
        <v>0.00</v>
      </c>
      <c r="T3" s="4" t="str">
        <f t="shared" si="7"/>
        <v>0.00</v>
      </c>
      <c r="U3" s="4" t="str">
        <f t="shared" si="7"/>
        <v>0.00</v>
      </c>
      <c r="V3" s="4" t="str">
        <f t="shared" si="7"/>
        <v>0.00</v>
      </c>
      <c r="W3" s="4" t="str">
        <f t="shared" si="7"/>
        <v>0.00</v>
      </c>
      <c r="X3" s="4" t="str">
        <f t="shared" ref="X3:X8" si="10">"0.00000"</f>
        <v>0.00000</v>
      </c>
      <c r="Y3" s="4" t="str">
        <f t="shared" ref="Y3:Y8" si="11">"0"</f>
        <v>0</v>
      </c>
      <c r="Z3" s="4" t="str">
        <f t="shared" ref="Z3:Z8" si="12">"0"</f>
        <v>0</v>
      </c>
      <c r="AA3" s="4" t="str">
        <f t="shared" ref="AA3:AA66" si="13">"人民币"</f>
        <v>人民币</v>
      </c>
      <c r="AB3" s="4" t="str">
        <f t="shared" ref="AB3:AB66" si="14">"A368402599"</f>
        <v>A368402599</v>
      </c>
    </row>
    <row r="4" spans="1:28">
      <c r="A4" s="4" t="str">
        <f>"20200703"</f>
        <v>20200703</v>
      </c>
      <c r="B4" s="4" t="str">
        <f>"20200703"</f>
        <v>20200703</v>
      </c>
      <c r="C4" s="4" t="str">
        <f t="shared" si="0"/>
        <v>0</v>
      </c>
      <c r="D4" s="4" t="str">
        <f t="shared" si="1"/>
        <v>00:00:00</v>
      </c>
      <c r="E4" s="4" t="str">
        <f t="shared" si="2"/>
        <v>港股通组合费</v>
      </c>
      <c r="F4" s="4" t="str">
        <f t="shared" si="3"/>
        <v/>
      </c>
      <c r="G4" s="4" t="str">
        <f t="shared" si="4"/>
        <v/>
      </c>
      <c r="H4" s="4" t="str">
        <f t="shared" si="5"/>
        <v>0.00</v>
      </c>
      <c r="I4" s="4" t="str">
        <f t="shared" si="6"/>
        <v>0</v>
      </c>
      <c r="J4" s="4" t="str">
        <f t="shared" ref="J4:J8" si="15">"0.03"</f>
        <v>0.03</v>
      </c>
      <c r="K4" s="4" t="str">
        <f t="shared" ref="K4:K8" si="16">"-0.03"</f>
        <v>-0.03</v>
      </c>
      <c r="L4" s="4" t="str">
        <f t="shared" ref="L4:W4" si="17">"0.00"</f>
        <v>0.00</v>
      </c>
      <c r="M4" s="4" t="str">
        <f t="shared" si="8"/>
        <v>0.000</v>
      </c>
      <c r="N4" s="4" t="str">
        <f>"4.97"</f>
        <v>4.97</v>
      </c>
      <c r="O4" s="4" t="str">
        <f t="shared" si="9"/>
        <v>0</v>
      </c>
      <c r="P4" s="4" t="str">
        <f t="shared" si="17"/>
        <v>0.00</v>
      </c>
      <c r="Q4" s="4" t="str">
        <f t="shared" si="17"/>
        <v>0.00</v>
      </c>
      <c r="R4" s="4" t="str">
        <f t="shared" si="17"/>
        <v>0.00</v>
      </c>
      <c r="S4" s="4" t="str">
        <f t="shared" si="17"/>
        <v>0.00</v>
      </c>
      <c r="T4" s="4" t="str">
        <f t="shared" si="17"/>
        <v>0.00</v>
      </c>
      <c r="U4" s="4" t="str">
        <f t="shared" si="17"/>
        <v>0.00</v>
      </c>
      <c r="V4" s="4" t="str">
        <f t="shared" si="17"/>
        <v>0.00</v>
      </c>
      <c r="W4" s="4" t="str">
        <f t="shared" si="17"/>
        <v>0.00</v>
      </c>
      <c r="X4" s="4" t="str">
        <f t="shared" si="10"/>
        <v>0.00000</v>
      </c>
      <c r="Y4" s="4" t="str">
        <f t="shared" si="11"/>
        <v>0</v>
      </c>
      <c r="Z4" s="4" t="str">
        <f t="shared" si="12"/>
        <v>0</v>
      </c>
      <c r="AA4" s="4" t="str">
        <f t="shared" si="13"/>
        <v>人民币</v>
      </c>
      <c r="AB4" s="4" t="str">
        <f t="shared" si="14"/>
        <v>A368402599</v>
      </c>
    </row>
    <row r="5" spans="1:28">
      <c r="A5" s="4" t="str">
        <f>"20200706"</f>
        <v>20200706</v>
      </c>
      <c r="B5" s="4" t="str">
        <f>"20200706"</f>
        <v>20200706</v>
      </c>
      <c r="C5" s="4" t="str">
        <f t="shared" si="0"/>
        <v>0</v>
      </c>
      <c r="D5" s="4" t="str">
        <f t="shared" si="1"/>
        <v>00:00:00</v>
      </c>
      <c r="E5" s="4" t="str">
        <f t="shared" si="2"/>
        <v>港股通组合费</v>
      </c>
      <c r="F5" s="4" t="str">
        <f t="shared" si="3"/>
        <v/>
      </c>
      <c r="G5" s="4" t="str">
        <f t="shared" si="4"/>
        <v/>
      </c>
      <c r="H5" s="4" t="str">
        <f t="shared" si="5"/>
        <v>0.00</v>
      </c>
      <c r="I5" s="4" t="str">
        <f t="shared" si="6"/>
        <v>0</v>
      </c>
      <c r="J5" s="4" t="str">
        <f>"0.08"</f>
        <v>0.08</v>
      </c>
      <c r="K5" s="4" t="str">
        <f>"-0.08"</f>
        <v>-0.08</v>
      </c>
      <c r="L5" s="4" t="str">
        <f t="shared" ref="L5:W5" si="18">"0.00"</f>
        <v>0.00</v>
      </c>
      <c r="M5" s="4" t="str">
        <f t="shared" si="8"/>
        <v>0.000</v>
      </c>
      <c r="N5" s="4" t="str">
        <f>"4.92"</f>
        <v>4.92</v>
      </c>
      <c r="O5" s="4" t="str">
        <f t="shared" si="9"/>
        <v>0</v>
      </c>
      <c r="P5" s="4" t="str">
        <f t="shared" si="18"/>
        <v>0.00</v>
      </c>
      <c r="Q5" s="4" t="str">
        <f t="shared" si="18"/>
        <v>0.00</v>
      </c>
      <c r="R5" s="4" t="str">
        <f t="shared" si="18"/>
        <v>0.00</v>
      </c>
      <c r="S5" s="4" t="str">
        <f t="shared" si="18"/>
        <v>0.00</v>
      </c>
      <c r="T5" s="4" t="str">
        <f t="shared" si="18"/>
        <v>0.00</v>
      </c>
      <c r="U5" s="4" t="str">
        <f t="shared" si="18"/>
        <v>0.00</v>
      </c>
      <c r="V5" s="4" t="str">
        <f t="shared" si="18"/>
        <v>0.00</v>
      </c>
      <c r="W5" s="4" t="str">
        <f t="shared" si="18"/>
        <v>0.00</v>
      </c>
      <c r="X5" s="4" t="str">
        <f t="shared" si="10"/>
        <v>0.00000</v>
      </c>
      <c r="Y5" s="4" t="str">
        <f t="shared" si="11"/>
        <v>0</v>
      </c>
      <c r="Z5" s="4" t="str">
        <f t="shared" si="12"/>
        <v>0</v>
      </c>
      <c r="AA5" s="4" t="str">
        <f t="shared" si="13"/>
        <v>人民币</v>
      </c>
      <c r="AB5" s="4" t="str">
        <f t="shared" si="14"/>
        <v>A368402599</v>
      </c>
    </row>
    <row r="6" spans="1:28">
      <c r="A6" s="4" t="str">
        <f>"20200707"</f>
        <v>20200707</v>
      </c>
      <c r="B6" s="4" t="str">
        <f>"20200707"</f>
        <v>20200707</v>
      </c>
      <c r="C6" s="4" t="str">
        <f t="shared" si="0"/>
        <v>0</v>
      </c>
      <c r="D6" s="4" t="str">
        <f t="shared" si="1"/>
        <v>00:00:00</v>
      </c>
      <c r="E6" s="4" t="str">
        <f t="shared" si="2"/>
        <v>港股通组合费</v>
      </c>
      <c r="F6" s="4" t="str">
        <f t="shared" si="3"/>
        <v/>
      </c>
      <c r="G6" s="4" t="str">
        <f t="shared" si="4"/>
        <v/>
      </c>
      <c r="H6" s="4" t="str">
        <f t="shared" si="5"/>
        <v>0.00</v>
      </c>
      <c r="I6" s="4" t="str">
        <f t="shared" si="6"/>
        <v>0</v>
      </c>
      <c r="J6" s="4" t="str">
        <f t="shared" si="15"/>
        <v>0.03</v>
      </c>
      <c r="K6" s="4" t="str">
        <f t="shared" si="16"/>
        <v>-0.03</v>
      </c>
      <c r="L6" s="4" t="str">
        <f t="shared" ref="L6:W6" si="19">"0.00"</f>
        <v>0.00</v>
      </c>
      <c r="M6" s="4" t="str">
        <f t="shared" si="8"/>
        <v>0.000</v>
      </c>
      <c r="N6" s="4" t="str">
        <f>"4.97"</f>
        <v>4.97</v>
      </c>
      <c r="O6" s="4" t="str">
        <f t="shared" si="9"/>
        <v>0</v>
      </c>
      <c r="P6" s="4" t="str">
        <f t="shared" si="19"/>
        <v>0.00</v>
      </c>
      <c r="Q6" s="4" t="str">
        <f t="shared" si="19"/>
        <v>0.00</v>
      </c>
      <c r="R6" s="4" t="str">
        <f t="shared" si="19"/>
        <v>0.00</v>
      </c>
      <c r="S6" s="4" t="str">
        <f t="shared" si="19"/>
        <v>0.00</v>
      </c>
      <c r="T6" s="4" t="str">
        <f t="shared" si="19"/>
        <v>0.00</v>
      </c>
      <c r="U6" s="4" t="str">
        <f t="shared" si="19"/>
        <v>0.00</v>
      </c>
      <c r="V6" s="4" t="str">
        <f t="shared" si="19"/>
        <v>0.00</v>
      </c>
      <c r="W6" s="4" t="str">
        <f t="shared" si="19"/>
        <v>0.00</v>
      </c>
      <c r="X6" s="4" t="str">
        <f t="shared" si="10"/>
        <v>0.00000</v>
      </c>
      <c r="Y6" s="4" t="str">
        <f t="shared" si="11"/>
        <v>0</v>
      </c>
      <c r="Z6" s="4" t="str">
        <f t="shared" si="12"/>
        <v>0</v>
      </c>
      <c r="AA6" s="4" t="str">
        <f t="shared" si="13"/>
        <v>人民币</v>
      </c>
      <c r="AB6" s="4" t="str">
        <f t="shared" si="14"/>
        <v>A368402599</v>
      </c>
    </row>
    <row r="7" spans="1:28">
      <c r="A7" s="4" t="str">
        <f>"20200708"</f>
        <v>20200708</v>
      </c>
      <c r="B7" s="4" t="str">
        <f>"20200708"</f>
        <v>20200708</v>
      </c>
      <c r="C7" s="4" t="str">
        <f t="shared" si="0"/>
        <v>0</v>
      </c>
      <c r="D7" s="4" t="str">
        <f t="shared" si="1"/>
        <v>00:00:00</v>
      </c>
      <c r="E7" s="4" t="str">
        <f t="shared" si="2"/>
        <v>港股通组合费</v>
      </c>
      <c r="F7" s="4" t="str">
        <f t="shared" si="3"/>
        <v/>
      </c>
      <c r="G7" s="4" t="str">
        <f t="shared" si="4"/>
        <v/>
      </c>
      <c r="H7" s="4" t="str">
        <f t="shared" si="5"/>
        <v>0.00</v>
      </c>
      <c r="I7" s="4" t="str">
        <f t="shared" si="6"/>
        <v>0</v>
      </c>
      <c r="J7" s="4" t="str">
        <f t="shared" si="15"/>
        <v>0.03</v>
      </c>
      <c r="K7" s="4" t="str">
        <f t="shared" si="16"/>
        <v>-0.03</v>
      </c>
      <c r="L7" s="4" t="str">
        <f t="shared" ref="L7:W7" si="20">"0.00"</f>
        <v>0.00</v>
      </c>
      <c r="M7" s="4" t="str">
        <f t="shared" si="8"/>
        <v>0.000</v>
      </c>
      <c r="N7" s="4" t="str">
        <f>"19031.37"</f>
        <v>19031.37</v>
      </c>
      <c r="O7" s="4" t="str">
        <f t="shared" si="9"/>
        <v>0</v>
      </c>
      <c r="P7" s="4" t="str">
        <f t="shared" si="20"/>
        <v>0.00</v>
      </c>
      <c r="Q7" s="4" t="str">
        <f t="shared" si="20"/>
        <v>0.00</v>
      </c>
      <c r="R7" s="4" t="str">
        <f t="shared" si="20"/>
        <v>0.00</v>
      </c>
      <c r="S7" s="4" t="str">
        <f t="shared" si="20"/>
        <v>0.00</v>
      </c>
      <c r="T7" s="4" t="str">
        <f t="shared" si="20"/>
        <v>0.00</v>
      </c>
      <c r="U7" s="4" t="str">
        <f t="shared" si="20"/>
        <v>0.00</v>
      </c>
      <c r="V7" s="4" t="str">
        <f t="shared" si="20"/>
        <v>0.00</v>
      </c>
      <c r="W7" s="4" t="str">
        <f t="shared" si="20"/>
        <v>0.00</v>
      </c>
      <c r="X7" s="4" t="str">
        <f t="shared" si="10"/>
        <v>0.00000</v>
      </c>
      <c r="Y7" s="4" t="str">
        <f t="shared" si="11"/>
        <v>0</v>
      </c>
      <c r="Z7" s="4" t="str">
        <f t="shared" si="12"/>
        <v>0</v>
      </c>
      <c r="AA7" s="4" t="str">
        <f t="shared" si="13"/>
        <v>人民币</v>
      </c>
      <c r="AB7" s="4" t="str">
        <f t="shared" si="14"/>
        <v>A368402599</v>
      </c>
    </row>
    <row r="8" spans="1:28">
      <c r="A8" s="4" t="str">
        <f>"20200709"</f>
        <v>20200709</v>
      </c>
      <c r="B8" s="4" t="str">
        <f>"20200709"</f>
        <v>20200709</v>
      </c>
      <c r="C8" s="4" t="str">
        <f t="shared" si="0"/>
        <v>0</v>
      </c>
      <c r="D8" s="4" t="str">
        <f t="shared" si="1"/>
        <v>00:00:00</v>
      </c>
      <c r="E8" s="4" t="str">
        <f t="shared" si="2"/>
        <v>港股通组合费</v>
      </c>
      <c r="F8" s="4" t="str">
        <f t="shared" si="3"/>
        <v/>
      </c>
      <c r="G8" s="4" t="str">
        <f t="shared" si="4"/>
        <v/>
      </c>
      <c r="H8" s="4" t="str">
        <f t="shared" si="5"/>
        <v>0.00</v>
      </c>
      <c r="I8" s="4" t="str">
        <f t="shared" si="6"/>
        <v>0</v>
      </c>
      <c r="J8" s="4" t="str">
        <f t="shared" si="15"/>
        <v>0.03</v>
      </c>
      <c r="K8" s="4" t="str">
        <f t="shared" si="16"/>
        <v>-0.03</v>
      </c>
      <c r="L8" s="4" t="str">
        <f t="shared" ref="L8:W8" si="21">"0.00"</f>
        <v>0.00</v>
      </c>
      <c r="M8" s="4" t="str">
        <f t="shared" si="8"/>
        <v>0.000</v>
      </c>
      <c r="N8" s="4" t="str">
        <f>"19031.34"</f>
        <v>19031.34</v>
      </c>
      <c r="O8" s="4" t="str">
        <f t="shared" si="9"/>
        <v>0</v>
      </c>
      <c r="P8" s="4" t="str">
        <f t="shared" si="21"/>
        <v>0.00</v>
      </c>
      <c r="Q8" s="4" t="str">
        <f t="shared" si="21"/>
        <v>0.00</v>
      </c>
      <c r="R8" s="4" t="str">
        <f t="shared" si="21"/>
        <v>0.00</v>
      </c>
      <c r="S8" s="4" t="str">
        <f t="shared" si="21"/>
        <v>0.00</v>
      </c>
      <c r="T8" s="4" t="str">
        <f t="shared" si="21"/>
        <v>0.00</v>
      </c>
      <c r="U8" s="4" t="str">
        <f t="shared" si="21"/>
        <v>0.00</v>
      </c>
      <c r="V8" s="4" t="str">
        <f t="shared" si="21"/>
        <v>0.00</v>
      </c>
      <c r="W8" s="4" t="str">
        <f t="shared" si="21"/>
        <v>0.00</v>
      </c>
      <c r="X8" s="4" t="str">
        <f t="shared" si="10"/>
        <v>0.00000</v>
      </c>
      <c r="Y8" s="4" t="str">
        <f t="shared" si="11"/>
        <v>0</v>
      </c>
      <c r="Z8" s="4" t="str">
        <f t="shared" si="12"/>
        <v>0</v>
      </c>
      <c r="AA8" s="4" t="str">
        <f t="shared" si="13"/>
        <v>人民币</v>
      </c>
      <c r="AB8" s="4" t="str">
        <f t="shared" si="14"/>
        <v>A368402599</v>
      </c>
    </row>
    <row r="9" spans="1:28">
      <c r="A9" s="4" t="str">
        <f>"20200710"</f>
        <v>20200710</v>
      </c>
      <c r="B9" s="4" t="str">
        <f>"20200708"</f>
        <v>20200708</v>
      </c>
      <c r="C9" s="4" t="str">
        <f>"20200708"</f>
        <v>20200708</v>
      </c>
      <c r="D9" s="4" t="str">
        <f>"14:23:13"</f>
        <v>14:23:13</v>
      </c>
      <c r="E9" s="4" t="str">
        <f>"港股通股票买入"</f>
        <v>港股通股票买入</v>
      </c>
      <c r="F9" s="4" t="str">
        <f>"00386"</f>
        <v>00386</v>
      </c>
      <c r="G9" s="4" t="str">
        <f>"中国石油"</f>
        <v>中国石油</v>
      </c>
      <c r="H9" s="4" t="str">
        <f>"3.07"</f>
        <v>3.07</v>
      </c>
      <c r="I9" s="4" t="str">
        <f>"6000"</f>
        <v>6000</v>
      </c>
      <c r="J9" s="4" t="str">
        <f>"18437.40"</f>
        <v>18437.40</v>
      </c>
      <c r="K9" s="4" t="str">
        <f>"-18469.34"</f>
        <v>-18469.34</v>
      </c>
      <c r="L9" s="4" t="str">
        <f>"6000.00"</f>
        <v>6000.00</v>
      </c>
      <c r="M9" s="4" t="str">
        <f>"3.390"</f>
        <v>3.390</v>
      </c>
      <c r="N9" s="4" t="str">
        <f>"562.00"</f>
        <v>562.00</v>
      </c>
      <c r="O9" s="4" t="str">
        <f>"38000"</f>
        <v>38000</v>
      </c>
      <c r="P9" s="4" t="str">
        <f>"19.03"</f>
        <v>19.03</v>
      </c>
      <c r="Q9" s="4" t="str">
        <f>"9.22"</f>
        <v>9.22</v>
      </c>
      <c r="R9" s="4" t="str">
        <f>"1.81"</f>
        <v>1.81</v>
      </c>
      <c r="S9" s="4" t="str">
        <f>"0.92"</f>
        <v>0.92</v>
      </c>
      <c r="T9" s="4" t="str">
        <f>"0.00"</f>
        <v>0.00</v>
      </c>
      <c r="U9" s="4" t="str">
        <f>"0.45"</f>
        <v>0.45</v>
      </c>
      <c r="V9" s="4" t="str">
        <f>"0.49"</f>
        <v>0.49</v>
      </c>
      <c r="W9" s="4" t="str">
        <f>"0.02"</f>
        <v>0.02</v>
      </c>
      <c r="X9" s="4" t="str">
        <f>"0.90646"</f>
        <v>0.90646</v>
      </c>
      <c r="Y9" s="4" t="str">
        <f>"386000003446"</f>
        <v>386000003446</v>
      </c>
      <c r="Z9" s="4" t="str">
        <f>"142558"</f>
        <v>142558</v>
      </c>
      <c r="AA9" s="4" t="str">
        <f t="shared" si="13"/>
        <v>人民币</v>
      </c>
      <c r="AB9" s="4" t="str">
        <f t="shared" si="14"/>
        <v>A368402599</v>
      </c>
    </row>
    <row r="10" spans="1:28">
      <c r="A10" s="4" t="str">
        <f>"20200710"</f>
        <v>20200710</v>
      </c>
      <c r="B10" s="4" t="str">
        <f>"20200710"</f>
        <v>20200710</v>
      </c>
      <c r="C10" s="4" t="str">
        <f t="shared" ref="C10:C21" si="22">"0"</f>
        <v>0</v>
      </c>
      <c r="D10" s="4" t="str">
        <f t="shared" ref="D10:D21" si="23">"00:00:00"</f>
        <v>00:00:00</v>
      </c>
      <c r="E10" s="4" t="str">
        <f t="shared" ref="E10:E21" si="24">"港股通组合费"</f>
        <v>港股通组合费</v>
      </c>
      <c r="F10" s="4" t="str">
        <f t="shared" ref="F10:F21" si="25">""</f>
        <v/>
      </c>
      <c r="G10" s="4" t="str">
        <f t="shared" ref="G10:G21" si="26">""</f>
        <v/>
      </c>
      <c r="H10" s="4" t="str">
        <f t="shared" ref="H10:H21" si="27">"0.00"</f>
        <v>0.00</v>
      </c>
      <c r="I10" s="4" t="str">
        <f t="shared" ref="I10:I21" si="28">"0"</f>
        <v>0</v>
      </c>
      <c r="J10" s="4" t="str">
        <f t="shared" ref="J10:J15" si="29">"0.03"</f>
        <v>0.03</v>
      </c>
      <c r="K10" s="4" t="str">
        <f t="shared" ref="K10:K15" si="30">"-0.03"</f>
        <v>-0.03</v>
      </c>
      <c r="L10" s="4" t="str">
        <f t="shared" ref="L10:W10" si="31">"0.00"</f>
        <v>0.00</v>
      </c>
      <c r="M10" s="4" t="str">
        <f t="shared" ref="M10:M21" si="32">"0.000"</f>
        <v>0.000</v>
      </c>
      <c r="N10" s="4" t="str">
        <f>"561.97"</f>
        <v>561.97</v>
      </c>
      <c r="O10" s="4" t="str">
        <f t="shared" ref="O10:O21" si="33">"0"</f>
        <v>0</v>
      </c>
      <c r="P10" s="4" t="str">
        <f t="shared" si="31"/>
        <v>0.00</v>
      </c>
      <c r="Q10" s="4" t="str">
        <f t="shared" si="31"/>
        <v>0.00</v>
      </c>
      <c r="R10" s="4" t="str">
        <f t="shared" si="31"/>
        <v>0.00</v>
      </c>
      <c r="S10" s="4" t="str">
        <f t="shared" si="31"/>
        <v>0.00</v>
      </c>
      <c r="T10" s="4" t="str">
        <f t="shared" si="31"/>
        <v>0.00</v>
      </c>
      <c r="U10" s="4" t="str">
        <f t="shared" si="31"/>
        <v>0.00</v>
      </c>
      <c r="V10" s="4" t="str">
        <f t="shared" si="31"/>
        <v>0.00</v>
      </c>
      <c r="W10" s="4" t="str">
        <f t="shared" si="31"/>
        <v>0.00</v>
      </c>
      <c r="X10" s="4" t="str">
        <f t="shared" ref="X10:X21" si="34">"0.00000"</f>
        <v>0.00000</v>
      </c>
      <c r="Y10" s="4" t="str">
        <f t="shared" ref="Y10:Y21" si="35">"0"</f>
        <v>0</v>
      </c>
      <c r="Z10" s="4" t="str">
        <f t="shared" ref="Z10:Z21" si="36">"0"</f>
        <v>0</v>
      </c>
      <c r="AA10" s="4" t="str">
        <f t="shared" si="13"/>
        <v>人民币</v>
      </c>
      <c r="AB10" s="4" t="str">
        <f t="shared" si="14"/>
        <v>A368402599</v>
      </c>
    </row>
    <row r="11" spans="1:28">
      <c r="A11" s="4" t="str">
        <f>"20200713"</f>
        <v>20200713</v>
      </c>
      <c r="B11" s="4" t="str">
        <f>"20200713"</f>
        <v>20200713</v>
      </c>
      <c r="C11" s="4" t="str">
        <f t="shared" si="22"/>
        <v>0</v>
      </c>
      <c r="D11" s="4" t="str">
        <f t="shared" si="23"/>
        <v>00:00:00</v>
      </c>
      <c r="E11" s="4" t="str">
        <f t="shared" si="24"/>
        <v>港股通组合费</v>
      </c>
      <c r="F11" s="4" t="str">
        <f t="shared" si="25"/>
        <v/>
      </c>
      <c r="G11" s="4" t="str">
        <f t="shared" si="26"/>
        <v/>
      </c>
      <c r="H11" s="4" t="str">
        <f t="shared" si="27"/>
        <v>0.00</v>
      </c>
      <c r="I11" s="4" t="str">
        <f t="shared" si="28"/>
        <v>0</v>
      </c>
      <c r="J11" s="4" t="str">
        <f>"0.08"</f>
        <v>0.08</v>
      </c>
      <c r="K11" s="4" t="str">
        <f>"-0.08"</f>
        <v>-0.08</v>
      </c>
      <c r="L11" s="4" t="str">
        <f t="shared" ref="L11:W11" si="37">"0.00"</f>
        <v>0.00</v>
      </c>
      <c r="M11" s="4" t="str">
        <f t="shared" si="32"/>
        <v>0.000</v>
      </c>
      <c r="N11" s="4" t="str">
        <f>"561.89"</f>
        <v>561.89</v>
      </c>
      <c r="O11" s="4" t="str">
        <f t="shared" si="33"/>
        <v>0</v>
      </c>
      <c r="P11" s="4" t="str">
        <f t="shared" si="37"/>
        <v>0.00</v>
      </c>
      <c r="Q11" s="4" t="str">
        <f t="shared" si="37"/>
        <v>0.00</v>
      </c>
      <c r="R11" s="4" t="str">
        <f t="shared" si="37"/>
        <v>0.00</v>
      </c>
      <c r="S11" s="4" t="str">
        <f t="shared" si="37"/>
        <v>0.00</v>
      </c>
      <c r="T11" s="4" t="str">
        <f t="shared" si="37"/>
        <v>0.00</v>
      </c>
      <c r="U11" s="4" t="str">
        <f t="shared" si="37"/>
        <v>0.00</v>
      </c>
      <c r="V11" s="4" t="str">
        <f t="shared" si="37"/>
        <v>0.00</v>
      </c>
      <c r="W11" s="4" t="str">
        <f t="shared" si="37"/>
        <v>0.00</v>
      </c>
      <c r="X11" s="4" t="str">
        <f t="shared" si="34"/>
        <v>0.00000</v>
      </c>
      <c r="Y11" s="4" t="str">
        <f t="shared" si="35"/>
        <v>0</v>
      </c>
      <c r="Z11" s="4" t="str">
        <f t="shared" si="36"/>
        <v>0</v>
      </c>
      <c r="AA11" s="4" t="str">
        <f t="shared" si="13"/>
        <v>人民币</v>
      </c>
      <c r="AB11" s="4" t="str">
        <f t="shared" si="14"/>
        <v>A368402599</v>
      </c>
    </row>
    <row r="12" spans="1:28">
      <c r="A12" s="4" t="str">
        <f>"20200714"</f>
        <v>20200714</v>
      </c>
      <c r="B12" s="4" t="str">
        <f>"20200714"</f>
        <v>20200714</v>
      </c>
      <c r="C12" s="4" t="str">
        <f t="shared" si="22"/>
        <v>0</v>
      </c>
      <c r="D12" s="4" t="str">
        <f t="shared" si="23"/>
        <v>00:00:00</v>
      </c>
      <c r="E12" s="4" t="str">
        <f t="shared" si="24"/>
        <v>港股通组合费</v>
      </c>
      <c r="F12" s="4" t="str">
        <f t="shared" si="25"/>
        <v/>
      </c>
      <c r="G12" s="4" t="str">
        <f t="shared" si="26"/>
        <v/>
      </c>
      <c r="H12" s="4" t="str">
        <f t="shared" si="27"/>
        <v>0.00</v>
      </c>
      <c r="I12" s="4" t="str">
        <f t="shared" si="28"/>
        <v>0</v>
      </c>
      <c r="J12" s="4" t="str">
        <f t="shared" si="29"/>
        <v>0.03</v>
      </c>
      <c r="K12" s="4" t="str">
        <f t="shared" si="30"/>
        <v>-0.03</v>
      </c>
      <c r="L12" s="4" t="str">
        <f t="shared" ref="L12:W12" si="38">"0.00"</f>
        <v>0.00</v>
      </c>
      <c r="M12" s="4" t="str">
        <f t="shared" si="32"/>
        <v>0.000</v>
      </c>
      <c r="N12" s="4" t="str">
        <f>"561.86"</f>
        <v>561.86</v>
      </c>
      <c r="O12" s="4" t="str">
        <f t="shared" si="33"/>
        <v>0</v>
      </c>
      <c r="P12" s="4" t="str">
        <f t="shared" si="38"/>
        <v>0.00</v>
      </c>
      <c r="Q12" s="4" t="str">
        <f t="shared" si="38"/>
        <v>0.00</v>
      </c>
      <c r="R12" s="4" t="str">
        <f t="shared" si="38"/>
        <v>0.00</v>
      </c>
      <c r="S12" s="4" t="str">
        <f t="shared" si="38"/>
        <v>0.00</v>
      </c>
      <c r="T12" s="4" t="str">
        <f t="shared" si="38"/>
        <v>0.00</v>
      </c>
      <c r="U12" s="4" t="str">
        <f t="shared" si="38"/>
        <v>0.00</v>
      </c>
      <c r="V12" s="4" t="str">
        <f t="shared" si="38"/>
        <v>0.00</v>
      </c>
      <c r="W12" s="4" t="str">
        <f t="shared" si="38"/>
        <v>0.00</v>
      </c>
      <c r="X12" s="4" t="str">
        <f t="shared" si="34"/>
        <v>0.00000</v>
      </c>
      <c r="Y12" s="4" t="str">
        <f t="shared" si="35"/>
        <v>0</v>
      </c>
      <c r="Z12" s="4" t="str">
        <f t="shared" si="36"/>
        <v>0</v>
      </c>
      <c r="AA12" s="4" t="str">
        <f t="shared" si="13"/>
        <v>人民币</v>
      </c>
      <c r="AB12" s="4" t="str">
        <f t="shared" si="14"/>
        <v>A368402599</v>
      </c>
    </row>
    <row r="13" spans="1:28">
      <c r="A13" s="4" t="str">
        <f>"20200715"</f>
        <v>20200715</v>
      </c>
      <c r="B13" s="4" t="str">
        <f>"20200715"</f>
        <v>20200715</v>
      </c>
      <c r="C13" s="4" t="str">
        <f t="shared" si="22"/>
        <v>0</v>
      </c>
      <c r="D13" s="4" t="str">
        <f t="shared" si="23"/>
        <v>00:00:00</v>
      </c>
      <c r="E13" s="4" t="str">
        <f t="shared" si="24"/>
        <v>港股通组合费</v>
      </c>
      <c r="F13" s="4" t="str">
        <f t="shared" si="25"/>
        <v/>
      </c>
      <c r="G13" s="4" t="str">
        <f t="shared" si="26"/>
        <v/>
      </c>
      <c r="H13" s="4" t="str">
        <f t="shared" si="27"/>
        <v>0.00</v>
      </c>
      <c r="I13" s="4" t="str">
        <f t="shared" si="28"/>
        <v>0</v>
      </c>
      <c r="J13" s="4" t="str">
        <f t="shared" si="29"/>
        <v>0.03</v>
      </c>
      <c r="K13" s="4" t="str">
        <f t="shared" si="30"/>
        <v>-0.03</v>
      </c>
      <c r="L13" s="4" t="str">
        <f t="shared" ref="L13:W13" si="39">"0.00"</f>
        <v>0.00</v>
      </c>
      <c r="M13" s="4" t="str">
        <f t="shared" si="32"/>
        <v>0.000</v>
      </c>
      <c r="N13" s="4" t="str">
        <f>"561.83"</f>
        <v>561.83</v>
      </c>
      <c r="O13" s="4" t="str">
        <f t="shared" si="33"/>
        <v>0</v>
      </c>
      <c r="P13" s="4" t="str">
        <f t="shared" si="39"/>
        <v>0.00</v>
      </c>
      <c r="Q13" s="4" t="str">
        <f t="shared" si="39"/>
        <v>0.00</v>
      </c>
      <c r="R13" s="4" t="str">
        <f t="shared" si="39"/>
        <v>0.00</v>
      </c>
      <c r="S13" s="4" t="str">
        <f t="shared" si="39"/>
        <v>0.00</v>
      </c>
      <c r="T13" s="4" t="str">
        <f t="shared" si="39"/>
        <v>0.00</v>
      </c>
      <c r="U13" s="4" t="str">
        <f t="shared" si="39"/>
        <v>0.00</v>
      </c>
      <c r="V13" s="4" t="str">
        <f t="shared" si="39"/>
        <v>0.00</v>
      </c>
      <c r="W13" s="4" t="str">
        <f t="shared" si="39"/>
        <v>0.00</v>
      </c>
      <c r="X13" s="4" t="str">
        <f t="shared" si="34"/>
        <v>0.00000</v>
      </c>
      <c r="Y13" s="4" t="str">
        <f t="shared" si="35"/>
        <v>0</v>
      </c>
      <c r="Z13" s="4" t="str">
        <f t="shared" si="36"/>
        <v>0</v>
      </c>
      <c r="AA13" s="4" t="str">
        <f t="shared" si="13"/>
        <v>人民币</v>
      </c>
      <c r="AB13" s="4" t="str">
        <f t="shared" si="14"/>
        <v>A368402599</v>
      </c>
    </row>
    <row r="14" spans="1:28">
      <c r="A14" s="4" t="str">
        <f>"20200716"</f>
        <v>20200716</v>
      </c>
      <c r="B14" s="4" t="str">
        <f>"20200716"</f>
        <v>20200716</v>
      </c>
      <c r="C14" s="4" t="str">
        <f t="shared" si="22"/>
        <v>0</v>
      </c>
      <c r="D14" s="4" t="str">
        <f t="shared" si="23"/>
        <v>00:00:00</v>
      </c>
      <c r="E14" s="4" t="str">
        <f t="shared" si="24"/>
        <v>港股通组合费</v>
      </c>
      <c r="F14" s="4" t="str">
        <f t="shared" si="25"/>
        <v/>
      </c>
      <c r="G14" s="4" t="str">
        <f t="shared" si="26"/>
        <v/>
      </c>
      <c r="H14" s="4" t="str">
        <f t="shared" si="27"/>
        <v>0.00</v>
      </c>
      <c r="I14" s="4" t="str">
        <f t="shared" si="28"/>
        <v>0</v>
      </c>
      <c r="J14" s="4" t="str">
        <f t="shared" si="29"/>
        <v>0.03</v>
      </c>
      <c r="K14" s="4" t="str">
        <f t="shared" si="30"/>
        <v>-0.03</v>
      </c>
      <c r="L14" s="4" t="str">
        <f t="shared" ref="L14:W14" si="40">"0.00"</f>
        <v>0.00</v>
      </c>
      <c r="M14" s="4" t="str">
        <f t="shared" si="32"/>
        <v>0.000</v>
      </c>
      <c r="N14" s="4" t="str">
        <f>"561.80"</f>
        <v>561.80</v>
      </c>
      <c r="O14" s="4" t="str">
        <f t="shared" si="33"/>
        <v>0</v>
      </c>
      <c r="P14" s="4" t="str">
        <f t="shared" si="40"/>
        <v>0.00</v>
      </c>
      <c r="Q14" s="4" t="str">
        <f t="shared" si="40"/>
        <v>0.00</v>
      </c>
      <c r="R14" s="4" t="str">
        <f t="shared" si="40"/>
        <v>0.00</v>
      </c>
      <c r="S14" s="4" t="str">
        <f t="shared" si="40"/>
        <v>0.00</v>
      </c>
      <c r="T14" s="4" t="str">
        <f t="shared" si="40"/>
        <v>0.00</v>
      </c>
      <c r="U14" s="4" t="str">
        <f t="shared" si="40"/>
        <v>0.00</v>
      </c>
      <c r="V14" s="4" t="str">
        <f t="shared" si="40"/>
        <v>0.00</v>
      </c>
      <c r="W14" s="4" t="str">
        <f t="shared" si="40"/>
        <v>0.00</v>
      </c>
      <c r="X14" s="4" t="str">
        <f t="shared" si="34"/>
        <v>0.00000</v>
      </c>
      <c r="Y14" s="4" t="str">
        <f t="shared" si="35"/>
        <v>0</v>
      </c>
      <c r="Z14" s="4" t="str">
        <f t="shared" si="36"/>
        <v>0</v>
      </c>
      <c r="AA14" s="4" t="str">
        <f t="shared" si="13"/>
        <v>人民币</v>
      </c>
      <c r="AB14" s="4" t="str">
        <f t="shared" si="14"/>
        <v>A368402599</v>
      </c>
    </row>
    <row r="15" spans="1:28">
      <c r="A15" s="4" t="str">
        <f>"20200717"</f>
        <v>20200717</v>
      </c>
      <c r="B15" s="4" t="str">
        <f>"20200717"</f>
        <v>20200717</v>
      </c>
      <c r="C15" s="4" t="str">
        <f t="shared" si="22"/>
        <v>0</v>
      </c>
      <c r="D15" s="4" t="str">
        <f t="shared" si="23"/>
        <v>00:00:00</v>
      </c>
      <c r="E15" s="4" t="str">
        <f t="shared" si="24"/>
        <v>港股通组合费</v>
      </c>
      <c r="F15" s="4" t="str">
        <f t="shared" si="25"/>
        <v/>
      </c>
      <c r="G15" s="4" t="str">
        <f t="shared" si="26"/>
        <v/>
      </c>
      <c r="H15" s="4" t="str">
        <f t="shared" si="27"/>
        <v>0.00</v>
      </c>
      <c r="I15" s="4" t="str">
        <f t="shared" si="28"/>
        <v>0</v>
      </c>
      <c r="J15" s="4" t="str">
        <f t="shared" si="29"/>
        <v>0.03</v>
      </c>
      <c r="K15" s="4" t="str">
        <f t="shared" si="30"/>
        <v>-0.03</v>
      </c>
      <c r="L15" s="4" t="str">
        <f t="shared" ref="L15:W15" si="41">"0.00"</f>
        <v>0.00</v>
      </c>
      <c r="M15" s="4" t="str">
        <f t="shared" si="32"/>
        <v>0.000</v>
      </c>
      <c r="N15" s="4" t="str">
        <f>"561.77"</f>
        <v>561.77</v>
      </c>
      <c r="O15" s="4" t="str">
        <f t="shared" si="33"/>
        <v>0</v>
      </c>
      <c r="P15" s="4" t="str">
        <f t="shared" si="41"/>
        <v>0.00</v>
      </c>
      <c r="Q15" s="4" t="str">
        <f t="shared" si="41"/>
        <v>0.00</v>
      </c>
      <c r="R15" s="4" t="str">
        <f t="shared" si="41"/>
        <v>0.00</v>
      </c>
      <c r="S15" s="4" t="str">
        <f t="shared" si="41"/>
        <v>0.00</v>
      </c>
      <c r="T15" s="4" t="str">
        <f t="shared" si="41"/>
        <v>0.00</v>
      </c>
      <c r="U15" s="4" t="str">
        <f t="shared" si="41"/>
        <v>0.00</v>
      </c>
      <c r="V15" s="4" t="str">
        <f t="shared" si="41"/>
        <v>0.00</v>
      </c>
      <c r="W15" s="4" t="str">
        <f t="shared" si="41"/>
        <v>0.00</v>
      </c>
      <c r="X15" s="4" t="str">
        <f t="shared" si="34"/>
        <v>0.00000</v>
      </c>
      <c r="Y15" s="4" t="str">
        <f t="shared" si="35"/>
        <v>0</v>
      </c>
      <c r="Z15" s="4" t="str">
        <f t="shared" si="36"/>
        <v>0</v>
      </c>
      <c r="AA15" s="4" t="str">
        <f t="shared" si="13"/>
        <v>人民币</v>
      </c>
      <c r="AB15" s="4" t="str">
        <f t="shared" si="14"/>
        <v>A368402599</v>
      </c>
    </row>
    <row r="16" spans="1:28">
      <c r="A16" s="4" t="str">
        <f>"20200720"</f>
        <v>20200720</v>
      </c>
      <c r="B16" s="4" t="str">
        <f>"20200720"</f>
        <v>20200720</v>
      </c>
      <c r="C16" s="4" t="str">
        <f t="shared" si="22"/>
        <v>0</v>
      </c>
      <c r="D16" s="4" t="str">
        <f t="shared" si="23"/>
        <v>00:00:00</v>
      </c>
      <c r="E16" s="4" t="str">
        <f t="shared" si="24"/>
        <v>港股通组合费</v>
      </c>
      <c r="F16" s="4" t="str">
        <f t="shared" si="25"/>
        <v/>
      </c>
      <c r="G16" s="4" t="str">
        <f t="shared" si="26"/>
        <v/>
      </c>
      <c r="H16" s="4" t="str">
        <f t="shared" si="27"/>
        <v>0.00</v>
      </c>
      <c r="I16" s="4" t="str">
        <f t="shared" si="28"/>
        <v>0</v>
      </c>
      <c r="J16" s="4" t="str">
        <f>"0.08"</f>
        <v>0.08</v>
      </c>
      <c r="K16" s="4" t="str">
        <f>"-0.08"</f>
        <v>-0.08</v>
      </c>
      <c r="L16" s="4" t="str">
        <f t="shared" ref="L16:W16" si="42">"0.00"</f>
        <v>0.00</v>
      </c>
      <c r="M16" s="4" t="str">
        <f t="shared" si="32"/>
        <v>0.000</v>
      </c>
      <c r="N16" s="4" t="str">
        <f>"561.69"</f>
        <v>561.69</v>
      </c>
      <c r="O16" s="4" t="str">
        <f t="shared" si="33"/>
        <v>0</v>
      </c>
      <c r="P16" s="4" t="str">
        <f t="shared" si="42"/>
        <v>0.00</v>
      </c>
      <c r="Q16" s="4" t="str">
        <f t="shared" si="42"/>
        <v>0.00</v>
      </c>
      <c r="R16" s="4" t="str">
        <f t="shared" si="42"/>
        <v>0.00</v>
      </c>
      <c r="S16" s="4" t="str">
        <f t="shared" si="42"/>
        <v>0.00</v>
      </c>
      <c r="T16" s="4" t="str">
        <f t="shared" si="42"/>
        <v>0.00</v>
      </c>
      <c r="U16" s="4" t="str">
        <f t="shared" si="42"/>
        <v>0.00</v>
      </c>
      <c r="V16" s="4" t="str">
        <f t="shared" si="42"/>
        <v>0.00</v>
      </c>
      <c r="W16" s="4" t="str">
        <f t="shared" si="42"/>
        <v>0.00</v>
      </c>
      <c r="X16" s="4" t="str">
        <f t="shared" si="34"/>
        <v>0.00000</v>
      </c>
      <c r="Y16" s="4" t="str">
        <f t="shared" si="35"/>
        <v>0</v>
      </c>
      <c r="Z16" s="4" t="str">
        <f t="shared" si="36"/>
        <v>0</v>
      </c>
      <c r="AA16" s="4" t="str">
        <f t="shared" si="13"/>
        <v>人民币</v>
      </c>
      <c r="AB16" s="4" t="str">
        <f t="shared" si="14"/>
        <v>A368402599</v>
      </c>
    </row>
    <row r="17" spans="1:28">
      <c r="A17" s="4" t="str">
        <f>"20200721"</f>
        <v>20200721</v>
      </c>
      <c r="B17" s="4" t="str">
        <f>"20200721"</f>
        <v>20200721</v>
      </c>
      <c r="C17" s="4" t="str">
        <f t="shared" si="22"/>
        <v>0</v>
      </c>
      <c r="D17" s="4" t="str">
        <f t="shared" si="23"/>
        <v>00:00:00</v>
      </c>
      <c r="E17" s="4" t="str">
        <f t="shared" si="24"/>
        <v>港股通组合费</v>
      </c>
      <c r="F17" s="4" t="str">
        <f t="shared" si="25"/>
        <v/>
      </c>
      <c r="G17" s="4" t="str">
        <f t="shared" si="26"/>
        <v/>
      </c>
      <c r="H17" s="4" t="str">
        <f t="shared" si="27"/>
        <v>0.00</v>
      </c>
      <c r="I17" s="4" t="str">
        <f t="shared" si="28"/>
        <v>0</v>
      </c>
      <c r="J17" s="4" t="str">
        <f t="shared" ref="J17:J20" si="43">"0.03"</f>
        <v>0.03</v>
      </c>
      <c r="K17" s="4" t="str">
        <f t="shared" ref="K17:K20" si="44">"-0.03"</f>
        <v>-0.03</v>
      </c>
      <c r="L17" s="4" t="str">
        <f t="shared" ref="L17:W17" si="45">"0.00"</f>
        <v>0.00</v>
      </c>
      <c r="M17" s="4" t="str">
        <f t="shared" si="32"/>
        <v>0.000</v>
      </c>
      <c r="N17" s="4" t="str">
        <f>"561.66"</f>
        <v>561.66</v>
      </c>
      <c r="O17" s="4" t="str">
        <f t="shared" si="33"/>
        <v>0</v>
      </c>
      <c r="P17" s="4" t="str">
        <f t="shared" si="45"/>
        <v>0.00</v>
      </c>
      <c r="Q17" s="4" t="str">
        <f t="shared" si="45"/>
        <v>0.00</v>
      </c>
      <c r="R17" s="4" t="str">
        <f t="shared" si="45"/>
        <v>0.00</v>
      </c>
      <c r="S17" s="4" t="str">
        <f t="shared" si="45"/>
        <v>0.00</v>
      </c>
      <c r="T17" s="4" t="str">
        <f t="shared" si="45"/>
        <v>0.00</v>
      </c>
      <c r="U17" s="4" t="str">
        <f t="shared" si="45"/>
        <v>0.00</v>
      </c>
      <c r="V17" s="4" t="str">
        <f t="shared" si="45"/>
        <v>0.00</v>
      </c>
      <c r="W17" s="4" t="str">
        <f t="shared" si="45"/>
        <v>0.00</v>
      </c>
      <c r="X17" s="4" t="str">
        <f t="shared" si="34"/>
        <v>0.00000</v>
      </c>
      <c r="Y17" s="4" t="str">
        <f t="shared" si="35"/>
        <v>0</v>
      </c>
      <c r="Z17" s="4" t="str">
        <f t="shared" si="36"/>
        <v>0</v>
      </c>
      <c r="AA17" s="4" t="str">
        <f t="shared" si="13"/>
        <v>人民币</v>
      </c>
      <c r="AB17" s="4" t="str">
        <f t="shared" si="14"/>
        <v>A368402599</v>
      </c>
    </row>
    <row r="18" spans="1:28">
      <c r="A18" s="4" t="str">
        <f>"20200722"</f>
        <v>20200722</v>
      </c>
      <c r="B18" s="4" t="str">
        <f>"20200722"</f>
        <v>20200722</v>
      </c>
      <c r="C18" s="4" t="str">
        <f t="shared" si="22"/>
        <v>0</v>
      </c>
      <c r="D18" s="4" t="str">
        <f t="shared" si="23"/>
        <v>00:00:00</v>
      </c>
      <c r="E18" s="4" t="str">
        <f t="shared" si="24"/>
        <v>港股通组合费</v>
      </c>
      <c r="F18" s="4" t="str">
        <f t="shared" si="25"/>
        <v/>
      </c>
      <c r="G18" s="4" t="str">
        <f t="shared" si="26"/>
        <v/>
      </c>
      <c r="H18" s="4" t="str">
        <f t="shared" si="27"/>
        <v>0.00</v>
      </c>
      <c r="I18" s="4" t="str">
        <f t="shared" si="28"/>
        <v>0</v>
      </c>
      <c r="J18" s="4" t="str">
        <f t="shared" si="43"/>
        <v>0.03</v>
      </c>
      <c r="K18" s="4" t="str">
        <f t="shared" si="44"/>
        <v>-0.03</v>
      </c>
      <c r="L18" s="4" t="str">
        <f t="shared" ref="L18:W18" si="46">"0.00"</f>
        <v>0.00</v>
      </c>
      <c r="M18" s="4" t="str">
        <f t="shared" si="32"/>
        <v>0.000</v>
      </c>
      <c r="N18" s="4" t="str">
        <f>"561.63"</f>
        <v>561.63</v>
      </c>
      <c r="O18" s="4" t="str">
        <f t="shared" si="33"/>
        <v>0</v>
      </c>
      <c r="P18" s="4" t="str">
        <f t="shared" si="46"/>
        <v>0.00</v>
      </c>
      <c r="Q18" s="4" t="str">
        <f t="shared" si="46"/>
        <v>0.00</v>
      </c>
      <c r="R18" s="4" t="str">
        <f t="shared" si="46"/>
        <v>0.00</v>
      </c>
      <c r="S18" s="4" t="str">
        <f t="shared" si="46"/>
        <v>0.00</v>
      </c>
      <c r="T18" s="4" t="str">
        <f t="shared" si="46"/>
        <v>0.00</v>
      </c>
      <c r="U18" s="4" t="str">
        <f t="shared" si="46"/>
        <v>0.00</v>
      </c>
      <c r="V18" s="4" t="str">
        <f t="shared" si="46"/>
        <v>0.00</v>
      </c>
      <c r="W18" s="4" t="str">
        <f t="shared" si="46"/>
        <v>0.00</v>
      </c>
      <c r="X18" s="4" t="str">
        <f t="shared" si="34"/>
        <v>0.00000</v>
      </c>
      <c r="Y18" s="4" t="str">
        <f t="shared" si="35"/>
        <v>0</v>
      </c>
      <c r="Z18" s="4" t="str">
        <f t="shared" si="36"/>
        <v>0</v>
      </c>
      <c r="AA18" s="4" t="str">
        <f t="shared" si="13"/>
        <v>人民币</v>
      </c>
      <c r="AB18" s="4" t="str">
        <f t="shared" si="14"/>
        <v>A368402599</v>
      </c>
    </row>
    <row r="19" spans="1:28">
      <c r="A19" s="4" t="str">
        <f>"20200723"</f>
        <v>20200723</v>
      </c>
      <c r="B19" s="4" t="str">
        <f>"20200723"</f>
        <v>20200723</v>
      </c>
      <c r="C19" s="4" t="str">
        <f t="shared" si="22"/>
        <v>0</v>
      </c>
      <c r="D19" s="4" t="str">
        <f t="shared" si="23"/>
        <v>00:00:00</v>
      </c>
      <c r="E19" s="4" t="str">
        <f t="shared" si="24"/>
        <v>港股通组合费</v>
      </c>
      <c r="F19" s="4" t="str">
        <f t="shared" si="25"/>
        <v/>
      </c>
      <c r="G19" s="4" t="str">
        <f t="shared" si="26"/>
        <v/>
      </c>
      <c r="H19" s="4" t="str">
        <f t="shared" si="27"/>
        <v>0.00</v>
      </c>
      <c r="I19" s="4" t="str">
        <f t="shared" si="28"/>
        <v>0</v>
      </c>
      <c r="J19" s="4" t="str">
        <f t="shared" si="43"/>
        <v>0.03</v>
      </c>
      <c r="K19" s="4" t="str">
        <f t="shared" si="44"/>
        <v>-0.03</v>
      </c>
      <c r="L19" s="4" t="str">
        <f t="shared" ref="L19:W19" si="47">"0.00"</f>
        <v>0.00</v>
      </c>
      <c r="M19" s="4" t="str">
        <f t="shared" si="32"/>
        <v>0.000</v>
      </c>
      <c r="N19" s="4" t="str">
        <f>"561.60"</f>
        <v>561.60</v>
      </c>
      <c r="O19" s="4" t="str">
        <f t="shared" si="33"/>
        <v>0</v>
      </c>
      <c r="P19" s="4" t="str">
        <f t="shared" si="47"/>
        <v>0.00</v>
      </c>
      <c r="Q19" s="4" t="str">
        <f t="shared" si="47"/>
        <v>0.00</v>
      </c>
      <c r="R19" s="4" t="str">
        <f t="shared" si="47"/>
        <v>0.00</v>
      </c>
      <c r="S19" s="4" t="str">
        <f t="shared" si="47"/>
        <v>0.00</v>
      </c>
      <c r="T19" s="4" t="str">
        <f t="shared" si="47"/>
        <v>0.00</v>
      </c>
      <c r="U19" s="4" t="str">
        <f t="shared" si="47"/>
        <v>0.00</v>
      </c>
      <c r="V19" s="4" t="str">
        <f t="shared" si="47"/>
        <v>0.00</v>
      </c>
      <c r="W19" s="4" t="str">
        <f t="shared" si="47"/>
        <v>0.00</v>
      </c>
      <c r="X19" s="4" t="str">
        <f t="shared" si="34"/>
        <v>0.00000</v>
      </c>
      <c r="Y19" s="4" t="str">
        <f t="shared" si="35"/>
        <v>0</v>
      </c>
      <c r="Z19" s="4" t="str">
        <f t="shared" si="36"/>
        <v>0</v>
      </c>
      <c r="AA19" s="4" t="str">
        <f t="shared" si="13"/>
        <v>人民币</v>
      </c>
      <c r="AB19" s="4" t="str">
        <f t="shared" si="14"/>
        <v>A368402599</v>
      </c>
    </row>
    <row r="20" spans="1:28">
      <c r="A20" s="4" t="str">
        <f>"20200724"</f>
        <v>20200724</v>
      </c>
      <c r="B20" s="4" t="str">
        <f t="shared" ref="B20:B23" si="48">"20200724"</f>
        <v>20200724</v>
      </c>
      <c r="C20" s="4" t="str">
        <f t="shared" si="22"/>
        <v>0</v>
      </c>
      <c r="D20" s="4" t="str">
        <f t="shared" si="23"/>
        <v>00:00:00</v>
      </c>
      <c r="E20" s="4" t="str">
        <f t="shared" si="24"/>
        <v>港股通组合费</v>
      </c>
      <c r="F20" s="4" t="str">
        <f t="shared" si="25"/>
        <v/>
      </c>
      <c r="G20" s="4" t="str">
        <f t="shared" si="26"/>
        <v/>
      </c>
      <c r="H20" s="4" t="str">
        <f t="shared" si="27"/>
        <v>0.00</v>
      </c>
      <c r="I20" s="4" t="str">
        <f t="shared" si="28"/>
        <v>0</v>
      </c>
      <c r="J20" s="4" t="str">
        <f t="shared" si="43"/>
        <v>0.03</v>
      </c>
      <c r="K20" s="4" t="str">
        <f t="shared" si="44"/>
        <v>-0.03</v>
      </c>
      <c r="L20" s="4" t="str">
        <f t="shared" ref="L20:W20" si="49">"0.00"</f>
        <v>0.00</v>
      </c>
      <c r="M20" s="4" t="str">
        <f t="shared" si="32"/>
        <v>0.000</v>
      </c>
      <c r="N20" s="4" t="str">
        <f>"1085.86"</f>
        <v>1085.86</v>
      </c>
      <c r="O20" s="4" t="str">
        <f t="shared" si="33"/>
        <v>0</v>
      </c>
      <c r="P20" s="4" t="str">
        <f t="shared" si="49"/>
        <v>0.00</v>
      </c>
      <c r="Q20" s="4" t="str">
        <f t="shared" si="49"/>
        <v>0.00</v>
      </c>
      <c r="R20" s="4" t="str">
        <f t="shared" si="49"/>
        <v>0.00</v>
      </c>
      <c r="S20" s="4" t="str">
        <f t="shared" si="49"/>
        <v>0.00</v>
      </c>
      <c r="T20" s="4" t="str">
        <f t="shared" si="49"/>
        <v>0.00</v>
      </c>
      <c r="U20" s="4" t="str">
        <f t="shared" si="49"/>
        <v>0.00</v>
      </c>
      <c r="V20" s="4" t="str">
        <f t="shared" si="49"/>
        <v>0.00</v>
      </c>
      <c r="W20" s="4" t="str">
        <f t="shared" si="49"/>
        <v>0.00</v>
      </c>
      <c r="X20" s="4" t="str">
        <f t="shared" si="34"/>
        <v>0.00000</v>
      </c>
      <c r="Y20" s="4" t="str">
        <f t="shared" si="35"/>
        <v>0</v>
      </c>
      <c r="Z20" s="4" t="str">
        <f t="shared" si="36"/>
        <v>0</v>
      </c>
      <c r="AA20" s="4" t="str">
        <f t="shared" si="13"/>
        <v>人民币</v>
      </c>
      <c r="AB20" s="4" t="str">
        <f t="shared" si="14"/>
        <v>A368402599</v>
      </c>
    </row>
    <row r="21" spans="1:28">
      <c r="A21" s="4" t="str">
        <f>"20200727"</f>
        <v>20200727</v>
      </c>
      <c r="B21" s="4" t="str">
        <f>"20200727"</f>
        <v>20200727</v>
      </c>
      <c r="C21" s="4" t="str">
        <f t="shared" si="22"/>
        <v>0</v>
      </c>
      <c r="D21" s="4" t="str">
        <f t="shared" si="23"/>
        <v>00:00:00</v>
      </c>
      <c r="E21" s="4" t="str">
        <f t="shared" si="24"/>
        <v>港股通组合费</v>
      </c>
      <c r="F21" s="4" t="str">
        <f t="shared" si="25"/>
        <v/>
      </c>
      <c r="G21" s="4" t="str">
        <f t="shared" si="26"/>
        <v/>
      </c>
      <c r="H21" s="4" t="str">
        <f t="shared" si="27"/>
        <v>0.00</v>
      </c>
      <c r="I21" s="4" t="str">
        <f t="shared" si="28"/>
        <v>0</v>
      </c>
      <c r="J21" s="4" t="str">
        <f>"0.08"</f>
        <v>0.08</v>
      </c>
      <c r="K21" s="4" t="str">
        <f>"-0.08"</f>
        <v>-0.08</v>
      </c>
      <c r="L21" s="4" t="str">
        <f t="shared" ref="L21:W21" si="50">"0.00"</f>
        <v>0.00</v>
      </c>
      <c r="M21" s="4" t="str">
        <f t="shared" si="32"/>
        <v>0.000</v>
      </c>
      <c r="N21" s="4" t="str">
        <f>"4.92"</f>
        <v>4.92</v>
      </c>
      <c r="O21" s="4" t="str">
        <f t="shared" si="33"/>
        <v>0</v>
      </c>
      <c r="P21" s="4" t="str">
        <f t="shared" si="50"/>
        <v>0.00</v>
      </c>
      <c r="Q21" s="4" t="str">
        <f t="shared" si="50"/>
        <v>0.00</v>
      </c>
      <c r="R21" s="4" t="str">
        <f t="shared" si="50"/>
        <v>0.00</v>
      </c>
      <c r="S21" s="4" t="str">
        <f t="shared" si="50"/>
        <v>0.00</v>
      </c>
      <c r="T21" s="4" t="str">
        <f t="shared" si="50"/>
        <v>0.00</v>
      </c>
      <c r="U21" s="4" t="str">
        <f t="shared" si="50"/>
        <v>0.00</v>
      </c>
      <c r="V21" s="4" t="str">
        <f t="shared" si="50"/>
        <v>0.00</v>
      </c>
      <c r="W21" s="4" t="str">
        <f t="shared" si="50"/>
        <v>0.00</v>
      </c>
      <c r="X21" s="4" t="str">
        <f t="shared" si="34"/>
        <v>0.00000</v>
      </c>
      <c r="Y21" s="4" t="str">
        <f t="shared" si="35"/>
        <v>0</v>
      </c>
      <c r="Z21" s="4" t="str">
        <f t="shared" si="36"/>
        <v>0</v>
      </c>
      <c r="AA21" s="4" t="str">
        <f t="shared" si="13"/>
        <v>人民币</v>
      </c>
      <c r="AB21" s="4" t="str">
        <f t="shared" si="14"/>
        <v>A368402599</v>
      </c>
    </row>
    <row r="22" spans="1:28">
      <c r="A22" s="4" t="str">
        <f t="shared" ref="A22:A24" si="51">"20200728"</f>
        <v>20200728</v>
      </c>
      <c r="B22" s="4" t="str">
        <f t="shared" si="48"/>
        <v>20200724</v>
      </c>
      <c r="C22" s="4" t="str">
        <f>"20200724"</f>
        <v>20200724</v>
      </c>
      <c r="D22" s="4" t="str">
        <f>"09:37:15"</f>
        <v>09:37:15</v>
      </c>
      <c r="E22" s="4" t="str">
        <f>"港股通股票卖出"</f>
        <v>港股通股票卖出</v>
      </c>
      <c r="F22" s="4" t="str">
        <f>"00386"</f>
        <v>00386</v>
      </c>
      <c r="G22" s="4" t="str">
        <f>"中国石油"</f>
        <v>中国石油</v>
      </c>
      <c r="H22" s="4" t="str">
        <f>"3.14"</f>
        <v>3.14</v>
      </c>
      <c r="I22" s="4" t="str">
        <f>"6000"</f>
        <v>6000</v>
      </c>
      <c r="J22" s="4" t="str">
        <f>"18817.32"</f>
        <v>18817.32</v>
      </c>
      <c r="K22" s="4" t="str">
        <f>"18782.97"</f>
        <v>18782.97</v>
      </c>
      <c r="L22" s="4" t="str">
        <f>"6000.00"</f>
        <v>6000.00</v>
      </c>
      <c r="M22" s="4" t="str">
        <f>"3.470"</f>
        <v>3.470</v>
      </c>
      <c r="N22" s="4" t="str">
        <f>"23941.36"</f>
        <v>23941.36</v>
      </c>
      <c r="O22" s="4" t="str">
        <f>"32000"</f>
        <v>32000</v>
      </c>
      <c r="P22" s="4" t="str">
        <f>"18.97"</f>
        <v>18.97</v>
      </c>
      <c r="Q22" s="4" t="str">
        <f>"9.41"</f>
        <v>9.41</v>
      </c>
      <c r="R22" s="4" t="str">
        <f>"3.60"</f>
        <v>3.60</v>
      </c>
      <c r="S22" s="4" t="str">
        <f>"0.93"</f>
        <v>0.93</v>
      </c>
      <c r="T22" s="4" t="str">
        <f>"0.00"</f>
        <v>0.00</v>
      </c>
      <c r="U22" s="4" t="str">
        <f>"0.90"</f>
        <v>0.90</v>
      </c>
      <c r="V22" s="4" t="str">
        <f>"0.50"</f>
        <v>0.50</v>
      </c>
      <c r="W22" s="4" t="str">
        <f>"0.04"</f>
        <v>0.04</v>
      </c>
      <c r="X22" s="4" t="str">
        <f>"0.90381"</f>
        <v>0.90381</v>
      </c>
      <c r="Y22" s="4" t="str">
        <f>"386000001327"</f>
        <v>386000001327</v>
      </c>
      <c r="Z22" s="4" t="str">
        <f>"93715"</f>
        <v>93715</v>
      </c>
      <c r="AA22" s="4" t="str">
        <f t="shared" si="13"/>
        <v>人民币</v>
      </c>
      <c r="AB22" s="4" t="str">
        <f t="shared" si="14"/>
        <v>A368402599</v>
      </c>
    </row>
    <row r="23" spans="1:28">
      <c r="A23" s="4" t="str">
        <f t="shared" si="51"/>
        <v>20200728</v>
      </c>
      <c r="B23" s="4" t="str">
        <f t="shared" si="48"/>
        <v>20200724</v>
      </c>
      <c r="C23" s="4" t="str">
        <f>"20200724"</f>
        <v>20200724</v>
      </c>
      <c r="D23" s="4" t="str">
        <f>"10:18:52"</f>
        <v>10:18:52</v>
      </c>
      <c r="E23" s="4" t="str">
        <f>"港股通股票买入"</f>
        <v>港股通股票买入</v>
      </c>
      <c r="F23" s="4" t="str">
        <f>"00386"</f>
        <v>00386</v>
      </c>
      <c r="G23" s="4" t="str">
        <f>"中国石油"</f>
        <v>中国石油</v>
      </c>
      <c r="H23" s="4" t="str">
        <f>"3.12"</f>
        <v>3.12</v>
      </c>
      <c r="I23" s="4" t="str">
        <f>"6000"</f>
        <v>6000</v>
      </c>
      <c r="J23" s="4" t="str">
        <f>"18687.75"</f>
        <v>18687.75</v>
      </c>
      <c r="K23" s="4" t="str">
        <f>"-18719.75"</f>
        <v>-18719.75</v>
      </c>
      <c r="L23" s="4" t="str">
        <f>"6000.00"</f>
        <v>6000.00</v>
      </c>
      <c r="M23" s="4" t="str">
        <f>"3.450"</f>
        <v>3.450</v>
      </c>
      <c r="N23" s="4" t="str">
        <f>"5221.61"</f>
        <v>5221.61</v>
      </c>
      <c r="O23" s="4" t="str">
        <f>"38000"</f>
        <v>38000</v>
      </c>
      <c r="P23" s="4" t="str">
        <f>"18.95"</f>
        <v>18.95</v>
      </c>
      <c r="Q23" s="4" t="str">
        <f>"9.34"</f>
        <v>9.34</v>
      </c>
      <c r="R23" s="4" t="str">
        <f>"1.80"</f>
        <v>1.80</v>
      </c>
      <c r="S23" s="4" t="str">
        <f>"0.93"</f>
        <v>0.93</v>
      </c>
      <c r="T23" s="4" t="str">
        <f>"0.00"</f>
        <v>0.00</v>
      </c>
      <c r="U23" s="4" t="str">
        <f>"0.45"</f>
        <v>0.45</v>
      </c>
      <c r="V23" s="4" t="str">
        <f>"0.50"</f>
        <v>0.50</v>
      </c>
      <c r="W23" s="4" t="str">
        <f>"0.03"</f>
        <v>0.03</v>
      </c>
      <c r="X23" s="4" t="str">
        <f>"0.90279"</f>
        <v>0.90279</v>
      </c>
      <c r="Y23" s="4" t="str">
        <f>"386000002894"</f>
        <v>386000002894</v>
      </c>
      <c r="Z23" s="4" t="str">
        <f>"104204"</f>
        <v>104204</v>
      </c>
      <c r="AA23" s="4" t="str">
        <f t="shared" si="13"/>
        <v>人民币</v>
      </c>
      <c r="AB23" s="4" t="str">
        <f t="shared" si="14"/>
        <v>A368402599</v>
      </c>
    </row>
    <row r="24" spans="1:28">
      <c r="A24" s="4" t="str">
        <f t="shared" si="51"/>
        <v>20200728</v>
      </c>
      <c r="B24" s="4" t="str">
        <f>"20200728"</f>
        <v>20200728</v>
      </c>
      <c r="C24" s="4" t="str">
        <f t="shared" ref="C24:C51" si="52">"0"</f>
        <v>0</v>
      </c>
      <c r="D24" s="4" t="str">
        <f t="shared" ref="D24:D51" si="53">"00:00:00"</f>
        <v>00:00:00</v>
      </c>
      <c r="E24" s="4" t="str">
        <f t="shared" ref="E24:E51" si="54">"港股通组合费"</f>
        <v>港股通组合费</v>
      </c>
      <c r="F24" s="4" t="str">
        <f t="shared" ref="F24:F51" si="55">""</f>
        <v/>
      </c>
      <c r="G24" s="4" t="str">
        <f t="shared" ref="G24:G51" si="56">""</f>
        <v/>
      </c>
      <c r="H24" s="4" t="str">
        <f t="shared" ref="H24:H51" si="57">"0.00"</f>
        <v>0.00</v>
      </c>
      <c r="I24" s="4" t="str">
        <f t="shared" ref="I24:I51" si="58">"0"</f>
        <v>0</v>
      </c>
      <c r="J24" s="4" t="str">
        <f t="shared" ref="J24:J27" si="59">"0.03"</f>
        <v>0.03</v>
      </c>
      <c r="K24" s="4" t="str">
        <f t="shared" ref="K24:K27" si="60">"-0.03"</f>
        <v>-0.03</v>
      </c>
      <c r="L24" s="4" t="str">
        <f t="shared" ref="L24:W24" si="61">"0.00"</f>
        <v>0.00</v>
      </c>
      <c r="M24" s="4" t="str">
        <f t="shared" ref="M24:M51" si="62">"0.000"</f>
        <v>0.000</v>
      </c>
      <c r="N24" s="4" t="str">
        <f>"5221.58"</f>
        <v>5221.58</v>
      </c>
      <c r="O24" s="4" t="str">
        <f t="shared" ref="O24:O51" si="63">"0"</f>
        <v>0</v>
      </c>
      <c r="P24" s="4" t="str">
        <f t="shared" si="61"/>
        <v>0.00</v>
      </c>
      <c r="Q24" s="4" t="str">
        <f t="shared" si="61"/>
        <v>0.00</v>
      </c>
      <c r="R24" s="4" t="str">
        <f t="shared" si="61"/>
        <v>0.00</v>
      </c>
      <c r="S24" s="4" t="str">
        <f t="shared" si="61"/>
        <v>0.00</v>
      </c>
      <c r="T24" s="4" t="str">
        <f t="shared" si="61"/>
        <v>0.00</v>
      </c>
      <c r="U24" s="4" t="str">
        <f t="shared" si="61"/>
        <v>0.00</v>
      </c>
      <c r="V24" s="4" t="str">
        <f t="shared" si="61"/>
        <v>0.00</v>
      </c>
      <c r="W24" s="4" t="str">
        <f t="shared" si="61"/>
        <v>0.00</v>
      </c>
      <c r="X24" s="4" t="str">
        <f t="shared" ref="X24:X51" si="64">"0.00000"</f>
        <v>0.00000</v>
      </c>
      <c r="Y24" s="4" t="str">
        <f t="shared" ref="Y24:Y51" si="65">"0"</f>
        <v>0</v>
      </c>
      <c r="Z24" s="4" t="str">
        <f t="shared" ref="Z24:Z51" si="66">"0"</f>
        <v>0</v>
      </c>
      <c r="AA24" s="4" t="str">
        <f t="shared" si="13"/>
        <v>人民币</v>
      </c>
      <c r="AB24" s="4" t="str">
        <f t="shared" si="14"/>
        <v>A368402599</v>
      </c>
    </row>
    <row r="25" spans="1:28">
      <c r="A25" s="4" t="str">
        <f>"20200729"</f>
        <v>20200729</v>
      </c>
      <c r="B25" s="4" t="str">
        <f>"20200729"</f>
        <v>20200729</v>
      </c>
      <c r="C25" s="4" t="str">
        <f t="shared" si="52"/>
        <v>0</v>
      </c>
      <c r="D25" s="4" t="str">
        <f t="shared" si="53"/>
        <v>00:00:00</v>
      </c>
      <c r="E25" s="4" t="str">
        <f t="shared" si="54"/>
        <v>港股通组合费</v>
      </c>
      <c r="F25" s="4" t="str">
        <f t="shared" si="55"/>
        <v/>
      </c>
      <c r="G25" s="4" t="str">
        <f t="shared" si="56"/>
        <v/>
      </c>
      <c r="H25" s="4" t="str">
        <f t="shared" si="57"/>
        <v>0.00</v>
      </c>
      <c r="I25" s="4" t="str">
        <f t="shared" si="58"/>
        <v>0</v>
      </c>
      <c r="J25" s="4" t="str">
        <f t="shared" si="59"/>
        <v>0.03</v>
      </c>
      <c r="K25" s="4" t="str">
        <f t="shared" si="60"/>
        <v>-0.03</v>
      </c>
      <c r="L25" s="4" t="str">
        <f t="shared" ref="L25:W25" si="67">"0.00"</f>
        <v>0.00</v>
      </c>
      <c r="M25" s="4" t="str">
        <f t="shared" si="62"/>
        <v>0.000</v>
      </c>
      <c r="N25" s="4" t="str">
        <f t="shared" ref="N25:N27" si="68">"4.97"</f>
        <v>4.97</v>
      </c>
      <c r="O25" s="4" t="str">
        <f t="shared" si="63"/>
        <v>0</v>
      </c>
      <c r="P25" s="4" t="str">
        <f t="shared" si="67"/>
        <v>0.00</v>
      </c>
      <c r="Q25" s="4" t="str">
        <f t="shared" si="67"/>
        <v>0.00</v>
      </c>
      <c r="R25" s="4" t="str">
        <f t="shared" si="67"/>
        <v>0.00</v>
      </c>
      <c r="S25" s="4" t="str">
        <f t="shared" si="67"/>
        <v>0.00</v>
      </c>
      <c r="T25" s="4" t="str">
        <f t="shared" si="67"/>
        <v>0.00</v>
      </c>
      <c r="U25" s="4" t="str">
        <f t="shared" si="67"/>
        <v>0.00</v>
      </c>
      <c r="V25" s="4" t="str">
        <f t="shared" si="67"/>
        <v>0.00</v>
      </c>
      <c r="W25" s="4" t="str">
        <f t="shared" si="67"/>
        <v>0.00</v>
      </c>
      <c r="X25" s="4" t="str">
        <f t="shared" si="64"/>
        <v>0.00000</v>
      </c>
      <c r="Y25" s="4" t="str">
        <f t="shared" si="65"/>
        <v>0</v>
      </c>
      <c r="Z25" s="4" t="str">
        <f t="shared" si="66"/>
        <v>0</v>
      </c>
      <c r="AA25" s="4" t="str">
        <f t="shared" si="13"/>
        <v>人民币</v>
      </c>
      <c r="AB25" s="4" t="str">
        <f t="shared" si="14"/>
        <v>A368402599</v>
      </c>
    </row>
    <row r="26" spans="1:28">
      <c r="A26" s="4" t="str">
        <f>"20200730"</f>
        <v>20200730</v>
      </c>
      <c r="B26" s="4" t="str">
        <f>"20200730"</f>
        <v>20200730</v>
      </c>
      <c r="C26" s="4" t="str">
        <f t="shared" si="52"/>
        <v>0</v>
      </c>
      <c r="D26" s="4" t="str">
        <f t="shared" si="53"/>
        <v>00:00:00</v>
      </c>
      <c r="E26" s="4" t="str">
        <f t="shared" si="54"/>
        <v>港股通组合费</v>
      </c>
      <c r="F26" s="4" t="str">
        <f t="shared" si="55"/>
        <v/>
      </c>
      <c r="G26" s="4" t="str">
        <f t="shared" si="56"/>
        <v/>
      </c>
      <c r="H26" s="4" t="str">
        <f t="shared" si="57"/>
        <v>0.00</v>
      </c>
      <c r="I26" s="4" t="str">
        <f t="shared" si="58"/>
        <v>0</v>
      </c>
      <c r="J26" s="4" t="str">
        <f t="shared" si="59"/>
        <v>0.03</v>
      </c>
      <c r="K26" s="4" t="str">
        <f t="shared" si="60"/>
        <v>-0.03</v>
      </c>
      <c r="L26" s="4" t="str">
        <f t="shared" ref="L26:W26" si="69">"0.00"</f>
        <v>0.00</v>
      </c>
      <c r="M26" s="4" t="str">
        <f t="shared" si="62"/>
        <v>0.000</v>
      </c>
      <c r="N26" s="4" t="str">
        <f t="shared" si="68"/>
        <v>4.97</v>
      </c>
      <c r="O26" s="4" t="str">
        <f t="shared" si="63"/>
        <v>0</v>
      </c>
      <c r="P26" s="4" t="str">
        <f t="shared" si="69"/>
        <v>0.00</v>
      </c>
      <c r="Q26" s="4" t="str">
        <f t="shared" si="69"/>
        <v>0.00</v>
      </c>
      <c r="R26" s="4" t="str">
        <f t="shared" si="69"/>
        <v>0.00</v>
      </c>
      <c r="S26" s="4" t="str">
        <f t="shared" si="69"/>
        <v>0.00</v>
      </c>
      <c r="T26" s="4" t="str">
        <f t="shared" si="69"/>
        <v>0.00</v>
      </c>
      <c r="U26" s="4" t="str">
        <f t="shared" si="69"/>
        <v>0.00</v>
      </c>
      <c r="V26" s="4" t="str">
        <f t="shared" si="69"/>
        <v>0.00</v>
      </c>
      <c r="W26" s="4" t="str">
        <f t="shared" si="69"/>
        <v>0.00</v>
      </c>
      <c r="X26" s="4" t="str">
        <f t="shared" si="64"/>
        <v>0.00000</v>
      </c>
      <c r="Y26" s="4" t="str">
        <f t="shared" si="65"/>
        <v>0</v>
      </c>
      <c r="Z26" s="4" t="str">
        <f t="shared" si="66"/>
        <v>0</v>
      </c>
      <c r="AA26" s="4" t="str">
        <f t="shared" si="13"/>
        <v>人民币</v>
      </c>
      <c r="AB26" s="4" t="str">
        <f t="shared" si="14"/>
        <v>A368402599</v>
      </c>
    </row>
    <row r="27" spans="1:28">
      <c r="A27" s="4" t="str">
        <f>"20200731"</f>
        <v>20200731</v>
      </c>
      <c r="B27" s="4" t="str">
        <f>"20200731"</f>
        <v>20200731</v>
      </c>
      <c r="C27" s="4" t="str">
        <f t="shared" si="52"/>
        <v>0</v>
      </c>
      <c r="D27" s="4" t="str">
        <f t="shared" si="53"/>
        <v>00:00:00</v>
      </c>
      <c r="E27" s="4" t="str">
        <f t="shared" si="54"/>
        <v>港股通组合费</v>
      </c>
      <c r="F27" s="4" t="str">
        <f t="shared" si="55"/>
        <v/>
      </c>
      <c r="G27" s="4" t="str">
        <f t="shared" si="56"/>
        <v/>
      </c>
      <c r="H27" s="4" t="str">
        <f t="shared" si="57"/>
        <v>0.00</v>
      </c>
      <c r="I27" s="4" t="str">
        <f t="shared" si="58"/>
        <v>0</v>
      </c>
      <c r="J27" s="4" t="str">
        <f t="shared" si="59"/>
        <v>0.03</v>
      </c>
      <c r="K27" s="4" t="str">
        <f t="shared" si="60"/>
        <v>-0.03</v>
      </c>
      <c r="L27" s="4" t="str">
        <f t="shared" ref="L27:W27" si="70">"0.00"</f>
        <v>0.00</v>
      </c>
      <c r="M27" s="4" t="str">
        <f t="shared" si="62"/>
        <v>0.000</v>
      </c>
      <c r="N27" s="4" t="str">
        <f t="shared" si="68"/>
        <v>4.97</v>
      </c>
      <c r="O27" s="4" t="str">
        <f t="shared" si="63"/>
        <v>0</v>
      </c>
      <c r="P27" s="4" t="str">
        <f t="shared" si="70"/>
        <v>0.00</v>
      </c>
      <c r="Q27" s="4" t="str">
        <f t="shared" si="70"/>
        <v>0.00</v>
      </c>
      <c r="R27" s="4" t="str">
        <f t="shared" si="70"/>
        <v>0.00</v>
      </c>
      <c r="S27" s="4" t="str">
        <f t="shared" si="70"/>
        <v>0.00</v>
      </c>
      <c r="T27" s="4" t="str">
        <f t="shared" si="70"/>
        <v>0.00</v>
      </c>
      <c r="U27" s="4" t="str">
        <f t="shared" si="70"/>
        <v>0.00</v>
      </c>
      <c r="V27" s="4" t="str">
        <f t="shared" si="70"/>
        <v>0.00</v>
      </c>
      <c r="W27" s="4" t="str">
        <f t="shared" si="70"/>
        <v>0.00</v>
      </c>
      <c r="X27" s="4" t="str">
        <f t="shared" si="64"/>
        <v>0.00000</v>
      </c>
      <c r="Y27" s="4" t="str">
        <f t="shared" si="65"/>
        <v>0</v>
      </c>
      <c r="Z27" s="4" t="str">
        <f t="shared" si="66"/>
        <v>0</v>
      </c>
      <c r="AA27" s="4" t="str">
        <f t="shared" si="13"/>
        <v>人民币</v>
      </c>
      <c r="AB27" s="4" t="str">
        <f t="shared" si="14"/>
        <v>A368402599</v>
      </c>
    </row>
    <row r="28" spans="1:28">
      <c r="A28" s="4" t="str">
        <f>"20200803"</f>
        <v>20200803</v>
      </c>
      <c r="B28" s="4" t="str">
        <f>"20200803"</f>
        <v>20200803</v>
      </c>
      <c r="C28" s="4" t="str">
        <f t="shared" si="52"/>
        <v>0</v>
      </c>
      <c r="D28" s="4" t="str">
        <f t="shared" si="53"/>
        <v>00:00:00</v>
      </c>
      <c r="E28" s="4" t="str">
        <f t="shared" si="54"/>
        <v>港股通组合费</v>
      </c>
      <c r="F28" s="4" t="str">
        <f t="shared" si="55"/>
        <v/>
      </c>
      <c r="G28" s="4" t="str">
        <f t="shared" si="56"/>
        <v/>
      </c>
      <c r="H28" s="4" t="str">
        <f t="shared" si="57"/>
        <v>0.00</v>
      </c>
      <c r="I28" s="4" t="str">
        <f t="shared" si="58"/>
        <v>0</v>
      </c>
      <c r="J28" s="4" t="str">
        <f>"0.08"</f>
        <v>0.08</v>
      </c>
      <c r="K28" s="4" t="str">
        <f>"-0.08"</f>
        <v>-0.08</v>
      </c>
      <c r="L28" s="4" t="str">
        <f t="shared" ref="L28:W28" si="71">"0.00"</f>
        <v>0.00</v>
      </c>
      <c r="M28" s="4" t="str">
        <f t="shared" si="62"/>
        <v>0.000</v>
      </c>
      <c r="N28" s="4" t="str">
        <f>"4.92"</f>
        <v>4.92</v>
      </c>
      <c r="O28" s="4" t="str">
        <f t="shared" si="63"/>
        <v>0</v>
      </c>
      <c r="P28" s="4" t="str">
        <f t="shared" si="71"/>
        <v>0.00</v>
      </c>
      <c r="Q28" s="4" t="str">
        <f t="shared" si="71"/>
        <v>0.00</v>
      </c>
      <c r="R28" s="4" t="str">
        <f t="shared" si="71"/>
        <v>0.00</v>
      </c>
      <c r="S28" s="4" t="str">
        <f t="shared" si="71"/>
        <v>0.00</v>
      </c>
      <c r="T28" s="4" t="str">
        <f t="shared" si="71"/>
        <v>0.00</v>
      </c>
      <c r="U28" s="4" t="str">
        <f t="shared" si="71"/>
        <v>0.00</v>
      </c>
      <c r="V28" s="4" t="str">
        <f t="shared" si="71"/>
        <v>0.00</v>
      </c>
      <c r="W28" s="4" t="str">
        <f t="shared" si="71"/>
        <v>0.00</v>
      </c>
      <c r="X28" s="4" t="str">
        <f t="shared" si="64"/>
        <v>0.00000</v>
      </c>
      <c r="Y28" s="4" t="str">
        <f t="shared" si="65"/>
        <v>0</v>
      </c>
      <c r="Z28" s="4" t="str">
        <f t="shared" si="66"/>
        <v>0</v>
      </c>
      <c r="AA28" s="4" t="str">
        <f t="shared" si="13"/>
        <v>人民币</v>
      </c>
      <c r="AB28" s="4" t="str">
        <f t="shared" si="14"/>
        <v>A368402599</v>
      </c>
    </row>
    <row r="29" spans="1:28">
      <c r="A29" s="4" t="str">
        <f>"20200804"</f>
        <v>20200804</v>
      </c>
      <c r="B29" s="4" t="str">
        <f>"20200804"</f>
        <v>20200804</v>
      </c>
      <c r="C29" s="4" t="str">
        <f t="shared" si="52"/>
        <v>0</v>
      </c>
      <c r="D29" s="4" t="str">
        <f t="shared" si="53"/>
        <v>00:00:00</v>
      </c>
      <c r="E29" s="4" t="str">
        <f t="shared" si="54"/>
        <v>港股通组合费</v>
      </c>
      <c r="F29" s="4" t="str">
        <f t="shared" si="55"/>
        <v/>
      </c>
      <c r="G29" s="4" t="str">
        <f t="shared" si="56"/>
        <v/>
      </c>
      <c r="H29" s="4" t="str">
        <f t="shared" si="57"/>
        <v>0.00</v>
      </c>
      <c r="I29" s="4" t="str">
        <f t="shared" si="58"/>
        <v>0</v>
      </c>
      <c r="J29" s="4" t="str">
        <f t="shared" ref="J29:J32" si="72">"0.03"</f>
        <v>0.03</v>
      </c>
      <c r="K29" s="4" t="str">
        <f t="shared" ref="K29:K32" si="73">"-0.03"</f>
        <v>-0.03</v>
      </c>
      <c r="L29" s="4" t="str">
        <f t="shared" ref="L29:W29" si="74">"0.00"</f>
        <v>0.00</v>
      </c>
      <c r="M29" s="4" t="str">
        <f t="shared" si="62"/>
        <v>0.000</v>
      </c>
      <c r="N29" s="4" t="str">
        <f t="shared" ref="N29:N32" si="75">"4.97"</f>
        <v>4.97</v>
      </c>
      <c r="O29" s="4" t="str">
        <f t="shared" si="63"/>
        <v>0</v>
      </c>
      <c r="P29" s="4" t="str">
        <f t="shared" si="74"/>
        <v>0.00</v>
      </c>
      <c r="Q29" s="4" t="str">
        <f t="shared" si="74"/>
        <v>0.00</v>
      </c>
      <c r="R29" s="4" t="str">
        <f t="shared" si="74"/>
        <v>0.00</v>
      </c>
      <c r="S29" s="4" t="str">
        <f t="shared" si="74"/>
        <v>0.00</v>
      </c>
      <c r="T29" s="4" t="str">
        <f t="shared" si="74"/>
        <v>0.00</v>
      </c>
      <c r="U29" s="4" t="str">
        <f t="shared" si="74"/>
        <v>0.00</v>
      </c>
      <c r="V29" s="4" t="str">
        <f t="shared" si="74"/>
        <v>0.00</v>
      </c>
      <c r="W29" s="4" t="str">
        <f t="shared" si="74"/>
        <v>0.00</v>
      </c>
      <c r="X29" s="4" t="str">
        <f t="shared" si="64"/>
        <v>0.00000</v>
      </c>
      <c r="Y29" s="4" t="str">
        <f t="shared" si="65"/>
        <v>0</v>
      </c>
      <c r="Z29" s="4" t="str">
        <f t="shared" si="66"/>
        <v>0</v>
      </c>
      <c r="AA29" s="4" t="str">
        <f t="shared" si="13"/>
        <v>人民币</v>
      </c>
      <c r="AB29" s="4" t="str">
        <f t="shared" si="14"/>
        <v>A368402599</v>
      </c>
    </row>
    <row r="30" spans="1:28">
      <c r="A30" s="4" t="str">
        <f>"20200805"</f>
        <v>20200805</v>
      </c>
      <c r="B30" s="4" t="str">
        <f>"20200805"</f>
        <v>20200805</v>
      </c>
      <c r="C30" s="4" t="str">
        <f t="shared" si="52"/>
        <v>0</v>
      </c>
      <c r="D30" s="4" t="str">
        <f t="shared" si="53"/>
        <v>00:00:00</v>
      </c>
      <c r="E30" s="4" t="str">
        <f t="shared" si="54"/>
        <v>港股通组合费</v>
      </c>
      <c r="F30" s="4" t="str">
        <f t="shared" si="55"/>
        <v/>
      </c>
      <c r="G30" s="4" t="str">
        <f t="shared" si="56"/>
        <v/>
      </c>
      <c r="H30" s="4" t="str">
        <f t="shared" si="57"/>
        <v>0.00</v>
      </c>
      <c r="I30" s="4" t="str">
        <f t="shared" si="58"/>
        <v>0</v>
      </c>
      <c r="J30" s="4" t="str">
        <f t="shared" si="72"/>
        <v>0.03</v>
      </c>
      <c r="K30" s="4" t="str">
        <f t="shared" si="73"/>
        <v>-0.03</v>
      </c>
      <c r="L30" s="4" t="str">
        <f t="shared" ref="L30:W30" si="76">"0.00"</f>
        <v>0.00</v>
      </c>
      <c r="M30" s="4" t="str">
        <f t="shared" si="62"/>
        <v>0.000</v>
      </c>
      <c r="N30" s="4" t="str">
        <f t="shared" si="75"/>
        <v>4.97</v>
      </c>
      <c r="O30" s="4" t="str">
        <f t="shared" si="63"/>
        <v>0</v>
      </c>
      <c r="P30" s="4" t="str">
        <f t="shared" si="76"/>
        <v>0.00</v>
      </c>
      <c r="Q30" s="4" t="str">
        <f t="shared" si="76"/>
        <v>0.00</v>
      </c>
      <c r="R30" s="4" t="str">
        <f t="shared" si="76"/>
        <v>0.00</v>
      </c>
      <c r="S30" s="4" t="str">
        <f t="shared" si="76"/>
        <v>0.00</v>
      </c>
      <c r="T30" s="4" t="str">
        <f t="shared" si="76"/>
        <v>0.00</v>
      </c>
      <c r="U30" s="4" t="str">
        <f t="shared" si="76"/>
        <v>0.00</v>
      </c>
      <c r="V30" s="4" t="str">
        <f t="shared" si="76"/>
        <v>0.00</v>
      </c>
      <c r="W30" s="4" t="str">
        <f t="shared" si="76"/>
        <v>0.00</v>
      </c>
      <c r="X30" s="4" t="str">
        <f t="shared" si="64"/>
        <v>0.00000</v>
      </c>
      <c r="Y30" s="4" t="str">
        <f t="shared" si="65"/>
        <v>0</v>
      </c>
      <c r="Z30" s="4" t="str">
        <f t="shared" si="66"/>
        <v>0</v>
      </c>
      <c r="AA30" s="4" t="str">
        <f t="shared" si="13"/>
        <v>人民币</v>
      </c>
      <c r="AB30" s="4" t="str">
        <f t="shared" si="14"/>
        <v>A368402599</v>
      </c>
    </row>
    <row r="31" spans="1:28">
      <c r="A31" s="4" t="str">
        <f>"20200806"</f>
        <v>20200806</v>
      </c>
      <c r="B31" s="4" t="str">
        <f>"20200806"</f>
        <v>20200806</v>
      </c>
      <c r="C31" s="4" t="str">
        <f t="shared" si="52"/>
        <v>0</v>
      </c>
      <c r="D31" s="4" t="str">
        <f t="shared" si="53"/>
        <v>00:00:00</v>
      </c>
      <c r="E31" s="4" t="str">
        <f t="shared" si="54"/>
        <v>港股通组合费</v>
      </c>
      <c r="F31" s="4" t="str">
        <f t="shared" si="55"/>
        <v/>
      </c>
      <c r="G31" s="4" t="str">
        <f t="shared" si="56"/>
        <v/>
      </c>
      <c r="H31" s="4" t="str">
        <f t="shared" si="57"/>
        <v>0.00</v>
      </c>
      <c r="I31" s="4" t="str">
        <f t="shared" si="58"/>
        <v>0</v>
      </c>
      <c r="J31" s="4" t="str">
        <f t="shared" si="72"/>
        <v>0.03</v>
      </c>
      <c r="K31" s="4" t="str">
        <f t="shared" si="73"/>
        <v>-0.03</v>
      </c>
      <c r="L31" s="4" t="str">
        <f t="shared" ref="L31:W31" si="77">"0.00"</f>
        <v>0.00</v>
      </c>
      <c r="M31" s="4" t="str">
        <f t="shared" si="62"/>
        <v>0.000</v>
      </c>
      <c r="N31" s="4" t="str">
        <f t="shared" si="75"/>
        <v>4.97</v>
      </c>
      <c r="O31" s="4" t="str">
        <f t="shared" si="63"/>
        <v>0</v>
      </c>
      <c r="P31" s="4" t="str">
        <f t="shared" si="77"/>
        <v>0.00</v>
      </c>
      <c r="Q31" s="4" t="str">
        <f t="shared" si="77"/>
        <v>0.00</v>
      </c>
      <c r="R31" s="4" t="str">
        <f t="shared" si="77"/>
        <v>0.00</v>
      </c>
      <c r="S31" s="4" t="str">
        <f t="shared" si="77"/>
        <v>0.00</v>
      </c>
      <c r="T31" s="4" t="str">
        <f t="shared" si="77"/>
        <v>0.00</v>
      </c>
      <c r="U31" s="4" t="str">
        <f t="shared" si="77"/>
        <v>0.00</v>
      </c>
      <c r="V31" s="4" t="str">
        <f t="shared" si="77"/>
        <v>0.00</v>
      </c>
      <c r="W31" s="4" t="str">
        <f t="shared" si="77"/>
        <v>0.00</v>
      </c>
      <c r="X31" s="4" t="str">
        <f t="shared" si="64"/>
        <v>0.00000</v>
      </c>
      <c r="Y31" s="4" t="str">
        <f t="shared" si="65"/>
        <v>0</v>
      </c>
      <c r="Z31" s="4" t="str">
        <f t="shared" si="66"/>
        <v>0</v>
      </c>
      <c r="AA31" s="4" t="str">
        <f t="shared" si="13"/>
        <v>人民币</v>
      </c>
      <c r="AB31" s="4" t="str">
        <f t="shared" si="14"/>
        <v>A368402599</v>
      </c>
    </row>
    <row r="32" spans="1:28">
      <c r="A32" s="4" t="str">
        <f>"20200807"</f>
        <v>20200807</v>
      </c>
      <c r="B32" s="4" t="str">
        <f>"20200807"</f>
        <v>20200807</v>
      </c>
      <c r="C32" s="4" t="str">
        <f t="shared" si="52"/>
        <v>0</v>
      </c>
      <c r="D32" s="4" t="str">
        <f t="shared" si="53"/>
        <v>00:00:00</v>
      </c>
      <c r="E32" s="4" t="str">
        <f t="shared" si="54"/>
        <v>港股通组合费</v>
      </c>
      <c r="F32" s="4" t="str">
        <f t="shared" si="55"/>
        <v/>
      </c>
      <c r="G32" s="4" t="str">
        <f t="shared" si="56"/>
        <v/>
      </c>
      <c r="H32" s="4" t="str">
        <f t="shared" si="57"/>
        <v>0.00</v>
      </c>
      <c r="I32" s="4" t="str">
        <f t="shared" si="58"/>
        <v>0</v>
      </c>
      <c r="J32" s="4" t="str">
        <f t="shared" si="72"/>
        <v>0.03</v>
      </c>
      <c r="K32" s="4" t="str">
        <f t="shared" si="73"/>
        <v>-0.03</v>
      </c>
      <c r="L32" s="4" t="str">
        <f t="shared" ref="L32:W32" si="78">"0.00"</f>
        <v>0.00</v>
      </c>
      <c r="M32" s="4" t="str">
        <f t="shared" si="62"/>
        <v>0.000</v>
      </c>
      <c r="N32" s="4" t="str">
        <f t="shared" si="75"/>
        <v>4.97</v>
      </c>
      <c r="O32" s="4" t="str">
        <f t="shared" si="63"/>
        <v>0</v>
      </c>
      <c r="P32" s="4" t="str">
        <f t="shared" si="78"/>
        <v>0.00</v>
      </c>
      <c r="Q32" s="4" t="str">
        <f t="shared" si="78"/>
        <v>0.00</v>
      </c>
      <c r="R32" s="4" t="str">
        <f t="shared" si="78"/>
        <v>0.00</v>
      </c>
      <c r="S32" s="4" t="str">
        <f t="shared" si="78"/>
        <v>0.00</v>
      </c>
      <c r="T32" s="4" t="str">
        <f t="shared" si="78"/>
        <v>0.00</v>
      </c>
      <c r="U32" s="4" t="str">
        <f t="shared" si="78"/>
        <v>0.00</v>
      </c>
      <c r="V32" s="4" t="str">
        <f t="shared" si="78"/>
        <v>0.00</v>
      </c>
      <c r="W32" s="4" t="str">
        <f t="shared" si="78"/>
        <v>0.00</v>
      </c>
      <c r="X32" s="4" t="str">
        <f t="shared" si="64"/>
        <v>0.00000</v>
      </c>
      <c r="Y32" s="4" t="str">
        <f t="shared" si="65"/>
        <v>0</v>
      </c>
      <c r="Z32" s="4" t="str">
        <f t="shared" si="66"/>
        <v>0</v>
      </c>
      <c r="AA32" s="4" t="str">
        <f t="shared" si="13"/>
        <v>人民币</v>
      </c>
      <c r="AB32" s="4" t="str">
        <f t="shared" si="14"/>
        <v>A368402599</v>
      </c>
    </row>
    <row r="33" spans="1:28">
      <c r="A33" s="4" t="str">
        <f>"20200810"</f>
        <v>20200810</v>
      </c>
      <c r="B33" s="4" t="str">
        <f>"20200810"</f>
        <v>20200810</v>
      </c>
      <c r="C33" s="4" t="str">
        <f t="shared" si="52"/>
        <v>0</v>
      </c>
      <c r="D33" s="4" t="str">
        <f t="shared" si="53"/>
        <v>00:00:00</v>
      </c>
      <c r="E33" s="4" t="str">
        <f t="shared" si="54"/>
        <v>港股通组合费</v>
      </c>
      <c r="F33" s="4" t="str">
        <f t="shared" si="55"/>
        <v/>
      </c>
      <c r="G33" s="4" t="str">
        <f t="shared" si="56"/>
        <v/>
      </c>
      <c r="H33" s="4" t="str">
        <f t="shared" si="57"/>
        <v>0.00</v>
      </c>
      <c r="I33" s="4" t="str">
        <f t="shared" si="58"/>
        <v>0</v>
      </c>
      <c r="J33" s="4" t="str">
        <f>"0.08"</f>
        <v>0.08</v>
      </c>
      <c r="K33" s="4" t="str">
        <f>"-0.08"</f>
        <v>-0.08</v>
      </c>
      <c r="L33" s="4" t="str">
        <f t="shared" ref="L33:W33" si="79">"0.00"</f>
        <v>0.00</v>
      </c>
      <c r="M33" s="4" t="str">
        <f t="shared" si="62"/>
        <v>0.000</v>
      </c>
      <c r="N33" s="4" t="str">
        <f>"4.92"</f>
        <v>4.92</v>
      </c>
      <c r="O33" s="4" t="str">
        <f t="shared" si="63"/>
        <v>0</v>
      </c>
      <c r="P33" s="4" t="str">
        <f t="shared" si="79"/>
        <v>0.00</v>
      </c>
      <c r="Q33" s="4" t="str">
        <f t="shared" si="79"/>
        <v>0.00</v>
      </c>
      <c r="R33" s="4" t="str">
        <f t="shared" si="79"/>
        <v>0.00</v>
      </c>
      <c r="S33" s="4" t="str">
        <f t="shared" si="79"/>
        <v>0.00</v>
      </c>
      <c r="T33" s="4" t="str">
        <f t="shared" si="79"/>
        <v>0.00</v>
      </c>
      <c r="U33" s="4" t="str">
        <f t="shared" si="79"/>
        <v>0.00</v>
      </c>
      <c r="V33" s="4" t="str">
        <f t="shared" si="79"/>
        <v>0.00</v>
      </c>
      <c r="W33" s="4" t="str">
        <f t="shared" si="79"/>
        <v>0.00</v>
      </c>
      <c r="X33" s="4" t="str">
        <f t="shared" si="64"/>
        <v>0.00000</v>
      </c>
      <c r="Y33" s="4" t="str">
        <f t="shared" si="65"/>
        <v>0</v>
      </c>
      <c r="Z33" s="4" t="str">
        <f t="shared" si="66"/>
        <v>0</v>
      </c>
      <c r="AA33" s="4" t="str">
        <f t="shared" si="13"/>
        <v>人民币</v>
      </c>
      <c r="AB33" s="4" t="str">
        <f t="shared" si="14"/>
        <v>A368402599</v>
      </c>
    </row>
    <row r="34" spans="1:28">
      <c r="A34" s="4" t="str">
        <f>"20200811"</f>
        <v>20200811</v>
      </c>
      <c r="B34" s="4" t="str">
        <f>"20200811"</f>
        <v>20200811</v>
      </c>
      <c r="C34" s="4" t="str">
        <f t="shared" si="52"/>
        <v>0</v>
      </c>
      <c r="D34" s="4" t="str">
        <f t="shared" si="53"/>
        <v>00:00:00</v>
      </c>
      <c r="E34" s="4" t="str">
        <f t="shared" si="54"/>
        <v>港股通组合费</v>
      </c>
      <c r="F34" s="4" t="str">
        <f t="shared" si="55"/>
        <v/>
      </c>
      <c r="G34" s="4" t="str">
        <f t="shared" si="56"/>
        <v/>
      </c>
      <c r="H34" s="4" t="str">
        <f t="shared" si="57"/>
        <v>0.00</v>
      </c>
      <c r="I34" s="4" t="str">
        <f t="shared" si="58"/>
        <v>0</v>
      </c>
      <c r="J34" s="4" t="str">
        <f t="shared" ref="J34:J37" si="80">"0.03"</f>
        <v>0.03</v>
      </c>
      <c r="K34" s="4" t="str">
        <f t="shared" ref="K34:K37" si="81">"-0.03"</f>
        <v>-0.03</v>
      </c>
      <c r="L34" s="4" t="str">
        <f t="shared" ref="L34:W34" si="82">"0.00"</f>
        <v>0.00</v>
      </c>
      <c r="M34" s="4" t="str">
        <f t="shared" si="62"/>
        <v>0.000</v>
      </c>
      <c r="N34" s="4" t="str">
        <f t="shared" ref="N34:N37" si="83">"4.97"</f>
        <v>4.97</v>
      </c>
      <c r="O34" s="4" t="str">
        <f t="shared" si="63"/>
        <v>0</v>
      </c>
      <c r="P34" s="4" t="str">
        <f t="shared" si="82"/>
        <v>0.00</v>
      </c>
      <c r="Q34" s="4" t="str">
        <f t="shared" si="82"/>
        <v>0.00</v>
      </c>
      <c r="R34" s="4" t="str">
        <f t="shared" si="82"/>
        <v>0.00</v>
      </c>
      <c r="S34" s="4" t="str">
        <f t="shared" si="82"/>
        <v>0.00</v>
      </c>
      <c r="T34" s="4" t="str">
        <f t="shared" si="82"/>
        <v>0.00</v>
      </c>
      <c r="U34" s="4" t="str">
        <f t="shared" si="82"/>
        <v>0.00</v>
      </c>
      <c r="V34" s="4" t="str">
        <f t="shared" si="82"/>
        <v>0.00</v>
      </c>
      <c r="W34" s="4" t="str">
        <f t="shared" si="82"/>
        <v>0.00</v>
      </c>
      <c r="X34" s="4" t="str">
        <f t="shared" si="64"/>
        <v>0.00000</v>
      </c>
      <c r="Y34" s="4" t="str">
        <f t="shared" si="65"/>
        <v>0</v>
      </c>
      <c r="Z34" s="4" t="str">
        <f t="shared" si="66"/>
        <v>0</v>
      </c>
      <c r="AA34" s="4" t="str">
        <f t="shared" si="13"/>
        <v>人民币</v>
      </c>
      <c r="AB34" s="4" t="str">
        <f t="shared" si="14"/>
        <v>A368402599</v>
      </c>
    </row>
    <row r="35" spans="1:28">
      <c r="A35" s="4" t="str">
        <f>"20200812"</f>
        <v>20200812</v>
      </c>
      <c r="B35" s="4" t="str">
        <f>"20200812"</f>
        <v>20200812</v>
      </c>
      <c r="C35" s="4" t="str">
        <f t="shared" si="52"/>
        <v>0</v>
      </c>
      <c r="D35" s="4" t="str">
        <f t="shared" si="53"/>
        <v>00:00:00</v>
      </c>
      <c r="E35" s="4" t="str">
        <f t="shared" si="54"/>
        <v>港股通组合费</v>
      </c>
      <c r="F35" s="4" t="str">
        <f t="shared" si="55"/>
        <v/>
      </c>
      <c r="G35" s="4" t="str">
        <f t="shared" si="56"/>
        <v/>
      </c>
      <c r="H35" s="4" t="str">
        <f t="shared" si="57"/>
        <v>0.00</v>
      </c>
      <c r="I35" s="4" t="str">
        <f t="shared" si="58"/>
        <v>0</v>
      </c>
      <c r="J35" s="4" t="str">
        <f t="shared" si="80"/>
        <v>0.03</v>
      </c>
      <c r="K35" s="4" t="str">
        <f t="shared" si="81"/>
        <v>-0.03</v>
      </c>
      <c r="L35" s="4" t="str">
        <f t="shared" ref="L35:W35" si="84">"0.00"</f>
        <v>0.00</v>
      </c>
      <c r="M35" s="4" t="str">
        <f t="shared" si="62"/>
        <v>0.000</v>
      </c>
      <c r="N35" s="4" t="str">
        <f t="shared" si="83"/>
        <v>4.97</v>
      </c>
      <c r="O35" s="4" t="str">
        <f t="shared" si="63"/>
        <v>0</v>
      </c>
      <c r="P35" s="4" t="str">
        <f t="shared" si="84"/>
        <v>0.00</v>
      </c>
      <c r="Q35" s="4" t="str">
        <f t="shared" si="84"/>
        <v>0.00</v>
      </c>
      <c r="R35" s="4" t="str">
        <f t="shared" si="84"/>
        <v>0.00</v>
      </c>
      <c r="S35" s="4" t="str">
        <f t="shared" si="84"/>
        <v>0.00</v>
      </c>
      <c r="T35" s="4" t="str">
        <f t="shared" si="84"/>
        <v>0.00</v>
      </c>
      <c r="U35" s="4" t="str">
        <f t="shared" si="84"/>
        <v>0.00</v>
      </c>
      <c r="V35" s="4" t="str">
        <f t="shared" si="84"/>
        <v>0.00</v>
      </c>
      <c r="W35" s="4" t="str">
        <f t="shared" si="84"/>
        <v>0.00</v>
      </c>
      <c r="X35" s="4" t="str">
        <f t="shared" si="64"/>
        <v>0.00000</v>
      </c>
      <c r="Y35" s="4" t="str">
        <f t="shared" si="65"/>
        <v>0</v>
      </c>
      <c r="Z35" s="4" t="str">
        <f t="shared" si="66"/>
        <v>0</v>
      </c>
      <c r="AA35" s="4" t="str">
        <f t="shared" si="13"/>
        <v>人民币</v>
      </c>
      <c r="AB35" s="4" t="str">
        <f t="shared" si="14"/>
        <v>A368402599</v>
      </c>
    </row>
    <row r="36" spans="1:28">
      <c r="A36" s="4" t="str">
        <f>"20200813"</f>
        <v>20200813</v>
      </c>
      <c r="B36" s="4" t="str">
        <f>"20200813"</f>
        <v>20200813</v>
      </c>
      <c r="C36" s="4" t="str">
        <f t="shared" si="52"/>
        <v>0</v>
      </c>
      <c r="D36" s="4" t="str">
        <f t="shared" si="53"/>
        <v>00:00:00</v>
      </c>
      <c r="E36" s="4" t="str">
        <f t="shared" si="54"/>
        <v>港股通组合费</v>
      </c>
      <c r="F36" s="4" t="str">
        <f t="shared" si="55"/>
        <v/>
      </c>
      <c r="G36" s="4" t="str">
        <f t="shared" si="56"/>
        <v/>
      </c>
      <c r="H36" s="4" t="str">
        <f t="shared" si="57"/>
        <v>0.00</v>
      </c>
      <c r="I36" s="4" t="str">
        <f t="shared" si="58"/>
        <v>0</v>
      </c>
      <c r="J36" s="4" t="str">
        <f t="shared" si="80"/>
        <v>0.03</v>
      </c>
      <c r="K36" s="4" t="str">
        <f t="shared" si="81"/>
        <v>-0.03</v>
      </c>
      <c r="L36" s="4" t="str">
        <f t="shared" ref="L36:W36" si="85">"0.00"</f>
        <v>0.00</v>
      </c>
      <c r="M36" s="4" t="str">
        <f t="shared" si="62"/>
        <v>0.000</v>
      </c>
      <c r="N36" s="4" t="str">
        <f t="shared" si="83"/>
        <v>4.97</v>
      </c>
      <c r="O36" s="4" t="str">
        <f t="shared" si="63"/>
        <v>0</v>
      </c>
      <c r="P36" s="4" t="str">
        <f t="shared" si="85"/>
        <v>0.00</v>
      </c>
      <c r="Q36" s="4" t="str">
        <f t="shared" si="85"/>
        <v>0.00</v>
      </c>
      <c r="R36" s="4" t="str">
        <f t="shared" si="85"/>
        <v>0.00</v>
      </c>
      <c r="S36" s="4" t="str">
        <f t="shared" si="85"/>
        <v>0.00</v>
      </c>
      <c r="T36" s="4" t="str">
        <f t="shared" si="85"/>
        <v>0.00</v>
      </c>
      <c r="U36" s="4" t="str">
        <f t="shared" si="85"/>
        <v>0.00</v>
      </c>
      <c r="V36" s="4" t="str">
        <f t="shared" si="85"/>
        <v>0.00</v>
      </c>
      <c r="W36" s="4" t="str">
        <f t="shared" si="85"/>
        <v>0.00</v>
      </c>
      <c r="X36" s="4" t="str">
        <f t="shared" si="64"/>
        <v>0.00000</v>
      </c>
      <c r="Y36" s="4" t="str">
        <f t="shared" si="65"/>
        <v>0</v>
      </c>
      <c r="Z36" s="4" t="str">
        <f t="shared" si="66"/>
        <v>0</v>
      </c>
      <c r="AA36" s="4" t="str">
        <f t="shared" si="13"/>
        <v>人民币</v>
      </c>
      <c r="AB36" s="4" t="str">
        <f t="shared" si="14"/>
        <v>A368402599</v>
      </c>
    </row>
    <row r="37" spans="1:28">
      <c r="A37" s="4" t="str">
        <f>"20200814"</f>
        <v>20200814</v>
      </c>
      <c r="B37" s="4" t="str">
        <f>"20200814"</f>
        <v>20200814</v>
      </c>
      <c r="C37" s="4" t="str">
        <f t="shared" si="52"/>
        <v>0</v>
      </c>
      <c r="D37" s="4" t="str">
        <f t="shared" si="53"/>
        <v>00:00:00</v>
      </c>
      <c r="E37" s="4" t="str">
        <f t="shared" si="54"/>
        <v>港股通组合费</v>
      </c>
      <c r="F37" s="4" t="str">
        <f t="shared" si="55"/>
        <v/>
      </c>
      <c r="G37" s="4" t="str">
        <f t="shared" si="56"/>
        <v/>
      </c>
      <c r="H37" s="4" t="str">
        <f t="shared" si="57"/>
        <v>0.00</v>
      </c>
      <c r="I37" s="4" t="str">
        <f t="shared" si="58"/>
        <v>0</v>
      </c>
      <c r="J37" s="4" t="str">
        <f t="shared" si="80"/>
        <v>0.03</v>
      </c>
      <c r="K37" s="4" t="str">
        <f t="shared" si="81"/>
        <v>-0.03</v>
      </c>
      <c r="L37" s="4" t="str">
        <f t="shared" ref="L37:W37" si="86">"0.00"</f>
        <v>0.00</v>
      </c>
      <c r="M37" s="4" t="str">
        <f t="shared" si="62"/>
        <v>0.000</v>
      </c>
      <c r="N37" s="4" t="str">
        <f t="shared" si="83"/>
        <v>4.97</v>
      </c>
      <c r="O37" s="4" t="str">
        <f t="shared" si="63"/>
        <v>0</v>
      </c>
      <c r="P37" s="4" t="str">
        <f t="shared" si="86"/>
        <v>0.00</v>
      </c>
      <c r="Q37" s="4" t="str">
        <f t="shared" si="86"/>
        <v>0.00</v>
      </c>
      <c r="R37" s="4" t="str">
        <f t="shared" si="86"/>
        <v>0.00</v>
      </c>
      <c r="S37" s="4" t="str">
        <f t="shared" si="86"/>
        <v>0.00</v>
      </c>
      <c r="T37" s="4" t="str">
        <f t="shared" si="86"/>
        <v>0.00</v>
      </c>
      <c r="U37" s="4" t="str">
        <f t="shared" si="86"/>
        <v>0.00</v>
      </c>
      <c r="V37" s="4" t="str">
        <f t="shared" si="86"/>
        <v>0.00</v>
      </c>
      <c r="W37" s="4" t="str">
        <f t="shared" si="86"/>
        <v>0.00</v>
      </c>
      <c r="X37" s="4" t="str">
        <f t="shared" si="64"/>
        <v>0.00000</v>
      </c>
      <c r="Y37" s="4" t="str">
        <f t="shared" si="65"/>
        <v>0</v>
      </c>
      <c r="Z37" s="4" t="str">
        <f t="shared" si="66"/>
        <v>0</v>
      </c>
      <c r="AA37" s="4" t="str">
        <f t="shared" si="13"/>
        <v>人民币</v>
      </c>
      <c r="AB37" s="4" t="str">
        <f t="shared" si="14"/>
        <v>A368402599</v>
      </c>
    </row>
    <row r="38" spans="1:28">
      <c r="A38" s="4" t="str">
        <f>"20200817"</f>
        <v>20200817</v>
      </c>
      <c r="B38" s="4" t="str">
        <f>"20200817"</f>
        <v>20200817</v>
      </c>
      <c r="C38" s="4" t="str">
        <f t="shared" si="52"/>
        <v>0</v>
      </c>
      <c r="D38" s="4" t="str">
        <f t="shared" si="53"/>
        <v>00:00:00</v>
      </c>
      <c r="E38" s="4" t="str">
        <f t="shared" si="54"/>
        <v>港股通组合费</v>
      </c>
      <c r="F38" s="4" t="str">
        <f t="shared" si="55"/>
        <v/>
      </c>
      <c r="G38" s="4" t="str">
        <f t="shared" si="56"/>
        <v/>
      </c>
      <c r="H38" s="4" t="str">
        <f t="shared" si="57"/>
        <v>0.00</v>
      </c>
      <c r="I38" s="4" t="str">
        <f t="shared" si="58"/>
        <v>0</v>
      </c>
      <c r="J38" s="4" t="str">
        <f>"0.08"</f>
        <v>0.08</v>
      </c>
      <c r="K38" s="4" t="str">
        <f>"-0.08"</f>
        <v>-0.08</v>
      </c>
      <c r="L38" s="4" t="str">
        <f t="shared" ref="L38:W38" si="87">"0.00"</f>
        <v>0.00</v>
      </c>
      <c r="M38" s="4" t="str">
        <f t="shared" si="62"/>
        <v>0.000</v>
      </c>
      <c r="N38" s="4" t="str">
        <f>"4.92"</f>
        <v>4.92</v>
      </c>
      <c r="O38" s="4" t="str">
        <f t="shared" si="63"/>
        <v>0</v>
      </c>
      <c r="P38" s="4" t="str">
        <f t="shared" si="87"/>
        <v>0.00</v>
      </c>
      <c r="Q38" s="4" t="str">
        <f t="shared" si="87"/>
        <v>0.00</v>
      </c>
      <c r="R38" s="4" t="str">
        <f t="shared" si="87"/>
        <v>0.00</v>
      </c>
      <c r="S38" s="4" t="str">
        <f t="shared" si="87"/>
        <v>0.00</v>
      </c>
      <c r="T38" s="4" t="str">
        <f t="shared" si="87"/>
        <v>0.00</v>
      </c>
      <c r="U38" s="4" t="str">
        <f t="shared" si="87"/>
        <v>0.00</v>
      </c>
      <c r="V38" s="4" t="str">
        <f t="shared" si="87"/>
        <v>0.00</v>
      </c>
      <c r="W38" s="4" t="str">
        <f t="shared" si="87"/>
        <v>0.00</v>
      </c>
      <c r="X38" s="4" t="str">
        <f t="shared" si="64"/>
        <v>0.00000</v>
      </c>
      <c r="Y38" s="4" t="str">
        <f t="shared" si="65"/>
        <v>0</v>
      </c>
      <c r="Z38" s="4" t="str">
        <f t="shared" si="66"/>
        <v>0</v>
      </c>
      <c r="AA38" s="4" t="str">
        <f t="shared" si="13"/>
        <v>人民币</v>
      </c>
      <c r="AB38" s="4" t="str">
        <f t="shared" si="14"/>
        <v>A368402599</v>
      </c>
    </row>
    <row r="39" spans="1:28">
      <c r="A39" s="4" t="str">
        <f>"20200818"</f>
        <v>20200818</v>
      </c>
      <c r="B39" s="4" t="str">
        <f>"20200818"</f>
        <v>20200818</v>
      </c>
      <c r="C39" s="4" t="str">
        <f t="shared" si="52"/>
        <v>0</v>
      </c>
      <c r="D39" s="4" t="str">
        <f t="shared" si="53"/>
        <v>00:00:00</v>
      </c>
      <c r="E39" s="4" t="str">
        <f t="shared" si="54"/>
        <v>港股通组合费</v>
      </c>
      <c r="F39" s="4" t="str">
        <f t="shared" si="55"/>
        <v/>
      </c>
      <c r="G39" s="4" t="str">
        <f t="shared" si="56"/>
        <v/>
      </c>
      <c r="H39" s="4" t="str">
        <f t="shared" si="57"/>
        <v>0.00</v>
      </c>
      <c r="I39" s="4" t="str">
        <f t="shared" si="58"/>
        <v>0</v>
      </c>
      <c r="J39" s="4" t="str">
        <f>"0.04"</f>
        <v>0.04</v>
      </c>
      <c r="K39" s="4" t="str">
        <f>"-0.04"</f>
        <v>-0.04</v>
      </c>
      <c r="L39" s="4" t="str">
        <f t="shared" ref="L39:W39" si="88">"0.00"</f>
        <v>0.00</v>
      </c>
      <c r="M39" s="4" t="str">
        <f t="shared" si="62"/>
        <v>0.000</v>
      </c>
      <c r="N39" s="4" t="str">
        <f>"4.96"</f>
        <v>4.96</v>
      </c>
      <c r="O39" s="4" t="str">
        <f t="shared" si="63"/>
        <v>0</v>
      </c>
      <c r="P39" s="4" t="str">
        <f t="shared" si="88"/>
        <v>0.00</v>
      </c>
      <c r="Q39" s="4" t="str">
        <f t="shared" si="88"/>
        <v>0.00</v>
      </c>
      <c r="R39" s="4" t="str">
        <f t="shared" si="88"/>
        <v>0.00</v>
      </c>
      <c r="S39" s="4" t="str">
        <f t="shared" si="88"/>
        <v>0.00</v>
      </c>
      <c r="T39" s="4" t="str">
        <f t="shared" si="88"/>
        <v>0.00</v>
      </c>
      <c r="U39" s="4" t="str">
        <f t="shared" si="88"/>
        <v>0.00</v>
      </c>
      <c r="V39" s="4" t="str">
        <f t="shared" si="88"/>
        <v>0.00</v>
      </c>
      <c r="W39" s="4" t="str">
        <f t="shared" si="88"/>
        <v>0.00</v>
      </c>
      <c r="X39" s="4" t="str">
        <f t="shared" si="64"/>
        <v>0.00000</v>
      </c>
      <c r="Y39" s="4" t="str">
        <f t="shared" si="65"/>
        <v>0</v>
      </c>
      <c r="Z39" s="4" t="str">
        <f t="shared" si="66"/>
        <v>0</v>
      </c>
      <c r="AA39" s="4" t="str">
        <f t="shared" si="13"/>
        <v>人民币</v>
      </c>
      <c r="AB39" s="4" t="str">
        <f t="shared" si="14"/>
        <v>A368402599</v>
      </c>
    </row>
    <row r="40" spans="1:28">
      <c r="A40" s="4" t="str">
        <f>"20200819"</f>
        <v>20200819</v>
      </c>
      <c r="B40" s="4" t="str">
        <f>"20200819"</f>
        <v>20200819</v>
      </c>
      <c r="C40" s="4" t="str">
        <f t="shared" si="52"/>
        <v>0</v>
      </c>
      <c r="D40" s="4" t="str">
        <f t="shared" si="53"/>
        <v>00:00:00</v>
      </c>
      <c r="E40" s="4" t="str">
        <f t="shared" si="54"/>
        <v>港股通组合费</v>
      </c>
      <c r="F40" s="4" t="str">
        <f t="shared" si="55"/>
        <v/>
      </c>
      <c r="G40" s="4" t="str">
        <f t="shared" si="56"/>
        <v/>
      </c>
      <c r="H40" s="4" t="str">
        <f t="shared" si="57"/>
        <v>0.00</v>
      </c>
      <c r="I40" s="4" t="str">
        <f t="shared" si="58"/>
        <v>0</v>
      </c>
      <c r="J40" s="4" t="str">
        <f t="shared" ref="J40:J42" si="89">"0.03"</f>
        <v>0.03</v>
      </c>
      <c r="K40" s="4" t="str">
        <f t="shared" ref="K40:K42" si="90">"-0.03"</f>
        <v>-0.03</v>
      </c>
      <c r="L40" s="4" t="str">
        <f t="shared" ref="L40:W40" si="91">"0.00"</f>
        <v>0.00</v>
      </c>
      <c r="M40" s="4" t="str">
        <f t="shared" si="62"/>
        <v>0.000</v>
      </c>
      <c r="N40" s="4" t="str">
        <f t="shared" ref="N40:N45" si="92">"4.97"</f>
        <v>4.97</v>
      </c>
      <c r="O40" s="4" t="str">
        <f t="shared" si="63"/>
        <v>0</v>
      </c>
      <c r="P40" s="4" t="str">
        <f t="shared" si="91"/>
        <v>0.00</v>
      </c>
      <c r="Q40" s="4" t="str">
        <f t="shared" si="91"/>
        <v>0.00</v>
      </c>
      <c r="R40" s="4" t="str">
        <f t="shared" si="91"/>
        <v>0.00</v>
      </c>
      <c r="S40" s="4" t="str">
        <f t="shared" si="91"/>
        <v>0.00</v>
      </c>
      <c r="T40" s="4" t="str">
        <f t="shared" si="91"/>
        <v>0.00</v>
      </c>
      <c r="U40" s="4" t="str">
        <f t="shared" si="91"/>
        <v>0.00</v>
      </c>
      <c r="V40" s="4" t="str">
        <f t="shared" si="91"/>
        <v>0.00</v>
      </c>
      <c r="W40" s="4" t="str">
        <f t="shared" si="91"/>
        <v>0.00</v>
      </c>
      <c r="X40" s="4" t="str">
        <f t="shared" si="64"/>
        <v>0.00000</v>
      </c>
      <c r="Y40" s="4" t="str">
        <f t="shared" si="65"/>
        <v>0</v>
      </c>
      <c r="Z40" s="4" t="str">
        <f t="shared" si="66"/>
        <v>0</v>
      </c>
      <c r="AA40" s="4" t="str">
        <f t="shared" si="13"/>
        <v>人民币</v>
      </c>
      <c r="AB40" s="4" t="str">
        <f t="shared" si="14"/>
        <v>A368402599</v>
      </c>
    </row>
    <row r="41" spans="1:28">
      <c r="A41" s="4" t="str">
        <f>"20200820"</f>
        <v>20200820</v>
      </c>
      <c r="B41" s="4" t="str">
        <f>"20200820"</f>
        <v>20200820</v>
      </c>
      <c r="C41" s="4" t="str">
        <f t="shared" si="52"/>
        <v>0</v>
      </c>
      <c r="D41" s="4" t="str">
        <f t="shared" si="53"/>
        <v>00:00:00</v>
      </c>
      <c r="E41" s="4" t="str">
        <f t="shared" si="54"/>
        <v>港股通组合费</v>
      </c>
      <c r="F41" s="4" t="str">
        <f t="shared" si="55"/>
        <v/>
      </c>
      <c r="G41" s="4" t="str">
        <f t="shared" si="56"/>
        <v/>
      </c>
      <c r="H41" s="4" t="str">
        <f t="shared" si="57"/>
        <v>0.00</v>
      </c>
      <c r="I41" s="4" t="str">
        <f t="shared" si="58"/>
        <v>0</v>
      </c>
      <c r="J41" s="4" t="str">
        <f t="shared" si="89"/>
        <v>0.03</v>
      </c>
      <c r="K41" s="4" t="str">
        <f t="shared" si="90"/>
        <v>-0.03</v>
      </c>
      <c r="L41" s="4" t="str">
        <f t="shared" ref="L41:W41" si="93">"0.00"</f>
        <v>0.00</v>
      </c>
      <c r="M41" s="4" t="str">
        <f t="shared" si="62"/>
        <v>0.000</v>
      </c>
      <c r="N41" s="4" t="str">
        <f>"12679.23"</f>
        <v>12679.23</v>
      </c>
      <c r="O41" s="4" t="str">
        <f t="shared" si="63"/>
        <v>0</v>
      </c>
      <c r="P41" s="4" t="str">
        <f t="shared" si="93"/>
        <v>0.00</v>
      </c>
      <c r="Q41" s="4" t="str">
        <f t="shared" si="93"/>
        <v>0.00</v>
      </c>
      <c r="R41" s="4" t="str">
        <f t="shared" si="93"/>
        <v>0.00</v>
      </c>
      <c r="S41" s="4" t="str">
        <f t="shared" si="93"/>
        <v>0.00</v>
      </c>
      <c r="T41" s="4" t="str">
        <f t="shared" si="93"/>
        <v>0.00</v>
      </c>
      <c r="U41" s="4" t="str">
        <f t="shared" si="93"/>
        <v>0.00</v>
      </c>
      <c r="V41" s="4" t="str">
        <f t="shared" si="93"/>
        <v>0.00</v>
      </c>
      <c r="W41" s="4" t="str">
        <f t="shared" si="93"/>
        <v>0.00</v>
      </c>
      <c r="X41" s="4" t="str">
        <f t="shared" si="64"/>
        <v>0.00000</v>
      </c>
      <c r="Y41" s="4" t="str">
        <f t="shared" si="65"/>
        <v>0</v>
      </c>
      <c r="Z41" s="4" t="str">
        <f t="shared" si="66"/>
        <v>0</v>
      </c>
      <c r="AA41" s="4" t="str">
        <f t="shared" si="13"/>
        <v>人民币</v>
      </c>
      <c r="AB41" s="4" t="str">
        <f t="shared" si="14"/>
        <v>A368402599</v>
      </c>
    </row>
    <row r="42" spans="1:28">
      <c r="A42" s="4" t="str">
        <f>"20200821"</f>
        <v>20200821</v>
      </c>
      <c r="B42" s="4" t="str">
        <f>"20200821"</f>
        <v>20200821</v>
      </c>
      <c r="C42" s="4" t="str">
        <f t="shared" si="52"/>
        <v>0</v>
      </c>
      <c r="D42" s="4" t="str">
        <f t="shared" si="53"/>
        <v>00:00:00</v>
      </c>
      <c r="E42" s="4" t="str">
        <f t="shared" si="54"/>
        <v>港股通组合费</v>
      </c>
      <c r="F42" s="4" t="str">
        <f t="shared" si="55"/>
        <v/>
      </c>
      <c r="G42" s="4" t="str">
        <f t="shared" si="56"/>
        <v/>
      </c>
      <c r="H42" s="4" t="str">
        <f t="shared" si="57"/>
        <v>0.00</v>
      </c>
      <c r="I42" s="4" t="str">
        <f t="shared" si="58"/>
        <v>0</v>
      </c>
      <c r="J42" s="4" t="str">
        <f t="shared" si="89"/>
        <v>0.03</v>
      </c>
      <c r="K42" s="4" t="str">
        <f t="shared" si="90"/>
        <v>-0.03</v>
      </c>
      <c r="L42" s="4" t="str">
        <f t="shared" ref="L42:W42" si="94">"0.00"</f>
        <v>0.00</v>
      </c>
      <c r="M42" s="4" t="str">
        <f t="shared" si="62"/>
        <v>0.000</v>
      </c>
      <c r="N42" s="4" t="str">
        <f t="shared" si="92"/>
        <v>4.97</v>
      </c>
      <c r="O42" s="4" t="str">
        <f t="shared" si="63"/>
        <v>0</v>
      </c>
      <c r="P42" s="4" t="str">
        <f t="shared" si="94"/>
        <v>0.00</v>
      </c>
      <c r="Q42" s="4" t="str">
        <f t="shared" si="94"/>
        <v>0.00</v>
      </c>
      <c r="R42" s="4" t="str">
        <f t="shared" si="94"/>
        <v>0.00</v>
      </c>
      <c r="S42" s="4" t="str">
        <f t="shared" si="94"/>
        <v>0.00</v>
      </c>
      <c r="T42" s="4" t="str">
        <f t="shared" si="94"/>
        <v>0.00</v>
      </c>
      <c r="U42" s="4" t="str">
        <f t="shared" si="94"/>
        <v>0.00</v>
      </c>
      <c r="V42" s="4" t="str">
        <f t="shared" si="94"/>
        <v>0.00</v>
      </c>
      <c r="W42" s="4" t="str">
        <f t="shared" si="94"/>
        <v>0.00</v>
      </c>
      <c r="X42" s="4" t="str">
        <f t="shared" si="64"/>
        <v>0.00000</v>
      </c>
      <c r="Y42" s="4" t="str">
        <f t="shared" si="65"/>
        <v>0</v>
      </c>
      <c r="Z42" s="4" t="str">
        <f t="shared" si="66"/>
        <v>0</v>
      </c>
      <c r="AA42" s="4" t="str">
        <f t="shared" si="13"/>
        <v>人民币</v>
      </c>
      <c r="AB42" s="4" t="str">
        <f t="shared" si="14"/>
        <v>A368402599</v>
      </c>
    </row>
    <row r="43" spans="1:28">
      <c r="A43" s="4" t="str">
        <f>"20200824"</f>
        <v>20200824</v>
      </c>
      <c r="B43" s="4" t="str">
        <f>"20200824"</f>
        <v>20200824</v>
      </c>
      <c r="C43" s="4" t="str">
        <f t="shared" si="52"/>
        <v>0</v>
      </c>
      <c r="D43" s="4" t="str">
        <f t="shared" si="53"/>
        <v>00:00:00</v>
      </c>
      <c r="E43" s="4" t="str">
        <f t="shared" si="54"/>
        <v>港股通组合费</v>
      </c>
      <c r="F43" s="4" t="str">
        <f t="shared" si="55"/>
        <v/>
      </c>
      <c r="G43" s="4" t="str">
        <f t="shared" si="56"/>
        <v/>
      </c>
      <c r="H43" s="4" t="str">
        <f t="shared" si="57"/>
        <v>0.00</v>
      </c>
      <c r="I43" s="4" t="str">
        <f t="shared" si="58"/>
        <v>0</v>
      </c>
      <c r="J43" s="4" t="str">
        <f>"0.08"</f>
        <v>0.08</v>
      </c>
      <c r="K43" s="4" t="str">
        <f>"-0.08"</f>
        <v>-0.08</v>
      </c>
      <c r="L43" s="4" t="str">
        <f t="shared" ref="L43:W43" si="95">"0.00"</f>
        <v>0.00</v>
      </c>
      <c r="M43" s="4" t="str">
        <f t="shared" si="62"/>
        <v>0.000</v>
      </c>
      <c r="N43" s="4" t="str">
        <f>"4.92"</f>
        <v>4.92</v>
      </c>
      <c r="O43" s="4" t="str">
        <f t="shared" si="63"/>
        <v>0</v>
      </c>
      <c r="P43" s="4" t="str">
        <f t="shared" si="95"/>
        <v>0.00</v>
      </c>
      <c r="Q43" s="4" t="str">
        <f t="shared" si="95"/>
        <v>0.00</v>
      </c>
      <c r="R43" s="4" t="str">
        <f t="shared" si="95"/>
        <v>0.00</v>
      </c>
      <c r="S43" s="4" t="str">
        <f t="shared" si="95"/>
        <v>0.00</v>
      </c>
      <c r="T43" s="4" t="str">
        <f t="shared" si="95"/>
        <v>0.00</v>
      </c>
      <c r="U43" s="4" t="str">
        <f t="shared" si="95"/>
        <v>0.00</v>
      </c>
      <c r="V43" s="4" t="str">
        <f t="shared" si="95"/>
        <v>0.00</v>
      </c>
      <c r="W43" s="4" t="str">
        <f t="shared" si="95"/>
        <v>0.00</v>
      </c>
      <c r="X43" s="4" t="str">
        <f t="shared" si="64"/>
        <v>0.00000</v>
      </c>
      <c r="Y43" s="4" t="str">
        <f t="shared" si="65"/>
        <v>0</v>
      </c>
      <c r="Z43" s="4" t="str">
        <f t="shared" si="66"/>
        <v>0</v>
      </c>
      <c r="AA43" s="4" t="str">
        <f t="shared" si="13"/>
        <v>人民币</v>
      </c>
      <c r="AB43" s="4" t="str">
        <f t="shared" si="14"/>
        <v>A368402599</v>
      </c>
    </row>
    <row r="44" spans="1:28">
      <c r="A44" s="4" t="str">
        <f>"20200825"</f>
        <v>20200825</v>
      </c>
      <c r="B44" s="4" t="str">
        <f>"20200825"</f>
        <v>20200825</v>
      </c>
      <c r="C44" s="4" t="str">
        <f t="shared" si="52"/>
        <v>0</v>
      </c>
      <c r="D44" s="4" t="str">
        <f t="shared" si="53"/>
        <v>00:00:00</v>
      </c>
      <c r="E44" s="4" t="str">
        <f t="shared" si="54"/>
        <v>港股通组合费</v>
      </c>
      <c r="F44" s="4" t="str">
        <f t="shared" si="55"/>
        <v/>
      </c>
      <c r="G44" s="4" t="str">
        <f t="shared" si="56"/>
        <v/>
      </c>
      <c r="H44" s="4" t="str">
        <f t="shared" si="57"/>
        <v>0.00</v>
      </c>
      <c r="I44" s="4" t="str">
        <f t="shared" si="58"/>
        <v>0</v>
      </c>
      <c r="J44" s="4" t="str">
        <f t="shared" ref="J44:J47" si="96">"0.03"</f>
        <v>0.03</v>
      </c>
      <c r="K44" s="4" t="str">
        <f t="shared" ref="K44:K47" si="97">"-0.03"</f>
        <v>-0.03</v>
      </c>
      <c r="L44" s="4" t="str">
        <f t="shared" ref="L44:W44" si="98">"0.00"</f>
        <v>0.00</v>
      </c>
      <c r="M44" s="4" t="str">
        <f t="shared" si="62"/>
        <v>0.000</v>
      </c>
      <c r="N44" s="4" t="str">
        <f t="shared" si="92"/>
        <v>4.97</v>
      </c>
      <c r="O44" s="4" t="str">
        <f t="shared" si="63"/>
        <v>0</v>
      </c>
      <c r="P44" s="4" t="str">
        <f t="shared" si="98"/>
        <v>0.00</v>
      </c>
      <c r="Q44" s="4" t="str">
        <f t="shared" si="98"/>
        <v>0.00</v>
      </c>
      <c r="R44" s="4" t="str">
        <f t="shared" si="98"/>
        <v>0.00</v>
      </c>
      <c r="S44" s="4" t="str">
        <f t="shared" si="98"/>
        <v>0.00</v>
      </c>
      <c r="T44" s="4" t="str">
        <f t="shared" si="98"/>
        <v>0.00</v>
      </c>
      <c r="U44" s="4" t="str">
        <f t="shared" si="98"/>
        <v>0.00</v>
      </c>
      <c r="V44" s="4" t="str">
        <f t="shared" si="98"/>
        <v>0.00</v>
      </c>
      <c r="W44" s="4" t="str">
        <f t="shared" si="98"/>
        <v>0.00</v>
      </c>
      <c r="X44" s="4" t="str">
        <f t="shared" si="64"/>
        <v>0.00000</v>
      </c>
      <c r="Y44" s="4" t="str">
        <f t="shared" si="65"/>
        <v>0</v>
      </c>
      <c r="Z44" s="4" t="str">
        <f t="shared" si="66"/>
        <v>0</v>
      </c>
      <c r="AA44" s="4" t="str">
        <f t="shared" si="13"/>
        <v>人民币</v>
      </c>
      <c r="AB44" s="4" t="str">
        <f t="shared" si="14"/>
        <v>A368402599</v>
      </c>
    </row>
    <row r="45" spans="1:28">
      <c r="A45" s="4" t="str">
        <f>"20200826"</f>
        <v>20200826</v>
      </c>
      <c r="B45" s="4" t="str">
        <f>"20200826"</f>
        <v>20200826</v>
      </c>
      <c r="C45" s="4" t="str">
        <f t="shared" si="52"/>
        <v>0</v>
      </c>
      <c r="D45" s="4" t="str">
        <f t="shared" si="53"/>
        <v>00:00:00</v>
      </c>
      <c r="E45" s="4" t="str">
        <f t="shared" si="54"/>
        <v>港股通组合费</v>
      </c>
      <c r="F45" s="4" t="str">
        <f t="shared" si="55"/>
        <v/>
      </c>
      <c r="G45" s="4" t="str">
        <f t="shared" si="56"/>
        <v/>
      </c>
      <c r="H45" s="4" t="str">
        <f t="shared" si="57"/>
        <v>0.00</v>
      </c>
      <c r="I45" s="4" t="str">
        <f t="shared" si="58"/>
        <v>0</v>
      </c>
      <c r="J45" s="4" t="str">
        <f t="shared" si="96"/>
        <v>0.03</v>
      </c>
      <c r="K45" s="4" t="str">
        <f t="shared" si="97"/>
        <v>-0.03</v>
      </c>
      <c r="L45" s="4" t="str">
        <f t="shared" ref="L45:W45" si="99">"0.00"</f>
        <v>0.00</v>
      </c>
      <c r="M45" s="4" t="str">
        <f t="shared" si="62"/>
        <v>0.000</v>
      </c>
      <c r="N45" s="4" t="str">
        <f t="shared" si="92"/>
        <v>4.97</v>
      </c>
      <c r="O45" s="4" t="str">
        <f t="shared" si="63"/>
        <v>0</v>
      </c>
      <c r="P45" s="4" t="str">
        <f t="shared" si="99"/>
        <v>0.00</v>
      </c>
      <c r="Q45" s="4" t="str">
        <f t="shared" si="99"/>
        <v>0.00</v>
      </c>
      <c r="R45" s="4" t="str">
        <f t="shared" si="99"/>
        <v>0.00</v>
      </c>
      <c r="S45" s="4" t="str">
        <f t="shared" si="99"/>
        <v>0.00</v>
      </c>
      <c r="T45" s="4" t="str">
        <f t="shared" si="99"/>
        <v>0.00</v>
      </c>
      <c r="U45" s="4" t="str">
        <f t="shared" si="99"/>
        <v>0.00</v>
      </c>
      <c r="V45" s="4" t="str">
        <f t="shared" si="99"/>
        <v>0.00</v>
      </c>
      <c r="W45" s="4" t="str">
        <f t="shared" si="99"/>
        <v>0.00</v>
      </c>
      <c r="X45" s="4" t="str">
        <f t="shared" si="64"/>
        <v>0.00000</v>
      </c>
      <c r="Y45" s="4" t="str">
        <f t="shared" si="65"/>
        <v>0</v>
      </c>
      <c r="Z45" s="4" t="str">
        <f t="shared" si="66"/>
        <v>0</v>
      </c>
      <c r="AA45" s="4" t="str">
        <f t="shared" si="13"/>
        <v>人民币</v>
      </c>
      <c r="AB45" s="4" t="str">
        <f t="shared" si="14"/>
        <v>A368402599</v>
      </c>
    </row>
    <row r="46" spans="1:28">
      <c r="A46" s="4" t="str">
        <f>"20200827"</f>
        <v>20200827</v>
      </c>
      <c r="B46" s="4" t="str">
        <f>"20200827"</f>
        <v>20200827</v>
      </c>
      <c r="C46" s="4" t="str">
        <f t="shared" si="52"/>
        <v>0</v>
      </c>
      <c r="D46" s="4" t="str">
        <f t="shared" si="53"/>
        <v>00:00:00</v>
      </c>
      <c r="E46" s="4" t="str">
        <f t="shared" si="54"/>
        <v>港股通组合费</v>
      </c>
      <c r="F46" s="4" t="str">
        <f t="shared" si="55"/>
        <v/>
      </c>
      <c r="G46" s="4" t="str">
        <f t="shared" si="56"/>
        <v/>
      </c>
      <c r="H46" s="4" t="str">
        <f t="shared" si="57"/>
        <v>0.00</v>
      </c>
      <c r="I46" s="4" t="str">
        <f t="shared" si="58"/>
        <v>0</v>
      </c>
      <c r="J46" s="4" t="str">
        <f t="shared" si="96"/>
        <v>0.03</v>
      </c>
      <c r="K46" s="4" t="str">
        <f t="shared" si="97"/>
        <v>-0.03</v>
      </c>
      <c r="L46" s="4" t="str">
        <f t="shared" ref="L46:W46" si="100">"0.00"</f>
        <v>0.00</v>
      </c>
      <c r="M46" s="4" t="str">
        <f t="shared" si="62"/>
        <v>0.000</v>
      </c>
      <c r="N46" s="4" t="str">
        <f>"429.97"</f>
        <v>429.97</v>
      </c>
      <c r="O46" s="4" t="str">
        <f t="shared" si="63"/>
        <v>0</v>
      </c>
      <c r="P46" s="4" t="str">
        <f t="shared" si="100"/>
        <v>0.00</v>
      </c>
      <c r="Q46" s="4" t="str">
        <f t="shared" si="100"/>
        <v>0.00</v>
      </c>
      <c r="R46" s="4" t="str">
        <f t="shared" si="100"/>
        <v>0.00</v>
      </c>
      <c r="S46" s="4" t="str">
        <f t="shared" si="100"/>
        <v>0.00</v>
      </c>
      <c r="T46" s="4" t="str">
        <f t="shared" si="100"/>
        <v>0.00</v>
      </c>
      <c r="U46" s="4" t="str">
        <f t="shared" si="100"/>
        <v>0.00</v>
      </c>
      <c r="V46" s="4" t="str">
        <f t="shared" si="100"/>
        <v>0.00</v>
      </c>
      <c r="W46" s="4" t="str">
        <f t="shared" si="100"/>
        <v>0.00</v>
      </c>
      <c r="X46" s="4" t="str">
        <f t="shared" si="64"/>
        <v>0.00000</v>
      </c>
      <c r="Y46" s="4" t="str">
        <f t="shared" si="65"/>
        <v>0</v>
      </c>
      <c r="Z46" s="4" t="str">
        <f t="shared" si="66"/>
        <v>0</v>
      </c>
      <c r="AA46" s="4" t="str">
        <f t="shared" si="13"/>
        <v>人民币</v>
      </c>
      <c r="AB46" s="4" t="str">
        <f t="shared" si="14"/>
        <v>A368402599</v>
      </c>
    </row>
    <row r="47" spans="1:28">
      <c r="A47" s="4" t="str">
        <f>"20200828"</f>
        <v>20200828</v>
      </c>
      <c r="B47" s="4" t="str">
        <f>"20200828"</f>
        <v>20200828</v>
      </c>
      <c r="C47" s="4" t="str">
        <f t="shared" si="52"/>
        <v>0</v>
      </c>
      <c r="D47" s="4" t="str">
        <f t="shared" si="53"/>
        <v>00:00:00</v>
      </c>
      <c r="E47" s="4" t="str">
        <f t="shared" si="54"/>
        <v>港股通组合费</v>
      </c>
      <c r="F47" s="4" t="str">
        <f t="shared" si="55"/>
        <v/>
      </c>
      <c r="G47" s="4" t="str">
        <f t="shared" si="56"/>
        <v/>
      </c>
      <c r="H47" s="4" t="str">
        <f t="shared" si="57"/>
        <v>0.00</v>
      </c>
      <c r="I47" s="4" t="str">
        <f t="shared" si="58"/>
        <v>0</v>
      </c>
      <c r="J47" s="4" t="str">
        <f t="shared" si="96"/>
        <v>0.03</v>
      </c>
      <c r="K47" s="4" t="str">
        <f t="shared" si="97"/>
        <v>-0.03</v>
      </c>
      <c r="L47" s="4" t="str">
        <f t="shared" ref="L47:W47" si="101">"0.00"</f>
        <v>0.00</v>
      </c>
      <c r="M47" s="4" t="str">
        <f t="shared" si="62"/>
        <v>0.000</v>
      </c>
      <c r="N47" s="4" t="str">
        <f>"429.94"</f>
        <v>429.94</v>
      </c>
      <c r="O47" s="4" t="str">
        <f t="shared" si="63"/>
        <v>0</v>
      </c>
      <c r="P47" s="4" t="str">
        <f t="shared" si="101"/>
        <v>0.00</v>
      </c>
      <c r="Q47" s="4" t="str">
        <f t="shared" si="101"/>
        <v>0.00</v>
      </c>
      <c r="R47" s="4" t="str">
        <f t="shared" si="101"/>
        <v>0.00</v>
      </c>
      <c r="S47" s="4" t="str">
        <f t="shared" si="101"/>
        <v>0.00</v>
      </c>
      <c r="T47" s="4" t="str">
        <f t="shared" si="101"/>
        <v>0.00</v>
      </c>
      <c r="U47" s="4" t="str">
        <f t="shared" si="101"/>
        <v>0.00</v>
      </c>
      <c r="V47" s="4" t="str">
        <f t="shared" si="101"/>
        <v>0.00</v>
      </c>
      <c r="W47" s="4" t="str">
        <f t="shared" si="101"/>
        <v>0.00</v>
      </c>
      <c r="X47" s="4" t="str">
        <f t="shared" si="64"/>
        <v>0.00000</v>
      </c>
      <c r="Y47" s="4" t="str">
        <f t="shared" si="65"/>
        <v>0</v>
      </c>
      <c r="Z47" s="4" t="str">
        <f t="shared" si="66"/>
        <v>0</v>
      </c>
      <c r="AA47" s="4" t="str">
        <f t="shared" si="13"/>
        <v>人民币</v>
      </c>
      <c r="AB47" s="4" t="str">
        <f t="shared" si="14"/>
        <v>A368402599</v>
      </c>
    </row>
    <row r="48" spans="1:28">
      <c r="A48" s="4" t="str">
        <f>"20200831"</f>
        <v>20200831</v>
      </c>
      <c r="B48" s="4" t="str">
        <f>"20200831"</f>
        <v>20200831</v>
      </c>
      <c r="C48" s="4" t="str">
        <f t="shared" si="52"/>
        <v>0</v>
      </c>
      <c r="D48" s="4" t="str">
        <f t="shared" si="53"/>
        <v>00:00:00</v>
      </c>
      <c r="E48" s="4" t="str">
        <f t="shared" si="54"/>
        <v>港股通组合费</v>
      </c>
      <c r="F48" s="4" t="str">
        <f t="shared" si="55"/>
        <v/>
      </c>
      <c r="G48" s="4" t="str">
        <f t="shared" si="56"/>
        <v/>
      </c>
      <c r="H48" s="4" t="str">
        <f t="shared" si="57"/>
        <v>0.00</v>
      </c>
      <c r="I48" s="4" t="str">
        <f t="shared" si="58"/>
        <v>0</v>
      </c>
      <c r="J48" s="4" t="str">
        <f>"0.08"</f>
        <v>0.08</v>
      </c>
      <c r="K48" s="4" t="str">
        <f>"-0.08"</f>
        <v>-0.08</v>
      </c>
      <c r="L48" s="4" t="str">
        <f t="shared" ref="L48:W48" si="102">"0.00"</f>
        <v>0.00</v>
      </c>
      <c r="M48" s="4" t="str">
        <f t="shared" si="62"/>
        <v>0.000</v>
      </c>
      <c r="N48" s="4" t="str">
        <f>"429.86"</f>
        <v>429.86</v>
      </c>
      <c r="O48" s="4" t="str">
        <f t="shared" si="63"/>
        <v>0</v>
      </c>
      <c r="P48" s="4" t="str">
        <f t="shared" si="102"/>
        <v>0.00</v>
      </c>
      <c r="Q48" s="4" t="str">
        <f t="shared" si="102"/>
        <v>0.00</v>
      </c>
      <c r="R48" s="4" t="str">
        <f t="shared" si="102"/>
        <v>0.00</v>
      </c>
      <c r="S48" s="4" t="str">
        <f t="shared" si="102"/>
        <v>0.00</v>
      </c>
      <c r="T48" s="4" t="str">
        <f t="shared" si="102"/>
        <v>0.00</v>
      </c>
      <c r="U48" s="4" t="str">
        <f t="shared" si="102"/>
        <v>0.00</v>
      </c>
      <c r="V48" s="4" t="str">
        <f t="shared" si="102"/>
        <v>0.00</v>
      </c>
      <c r="W48" s="4" t="str">
        <f t="shared" si="102"/>
        <v>0.00</v>
      </c>
      <c r="X48" s="4" t="str">
        <f t="shared" si="64"/>
        <v>0.00000</v>
      </c>
      <c r="Y48" s="4" t="str">
        <f t="shared" si="65"/>
        <v>0</v>
      </c>
      <c r="Z48" s="4" t="str">
        <f t="shared" si="66"/>
        <v>0</v>
      </c>
      <c r="AA48" s="4" t="str">
        <f t="shared" si="13"/>
        <v>人民币</v>
      </c>
      <c r="AB48" s="4" t="str">
        <f t="shared" si="14"/>
        <v>A368402599</v>
      </c>
    </row>
    <row r="49" spans="1:28">
      <c r="A49" s="4" t="str">
        <f>"20200901"</f>
        <v>20200901</v>
      </c>
      <c r="B49" s="4" t="str">
        <f>"20200901"</f>
        <v>20200901</v>
      </c>
      <c r="C49" s="4" t="str">
        <f t="shared" si="52"/>
        <v>0</v>
      </c>
      <c r="D49" s="4" t="str">
        <f t="shared" si="53"/>
        <v>00:00:00</v>
      </c>
      <c r="E49" s="4" t="str">
        <f t="shared" si="54"/>
        <v>港股通组合费</v>
      </c>
      <c r="F49" s="4" t="str">
        <f t="shared" si="55"/>
        <v/>
      </c>
      <c r="G49" s="4" t="str">
        <f t="shared" si="56"/>
        <v/>
      </c>
      <c r="H49" s="4" t="str">
        <f t="shared" si="57"/>
        <v>0.00</v>
      </c>
      <c r="I49" s="4" t="str">
        <f t="shared" si="58"/>
        <v>0</v>
      </c>
      <c r="J49" s="4" t="str">
        <f t="shared" ref="J49:J51" si="103">"0.03"</f>
        <v>0.03</v>
      </c>
      <c r="K49" s="4" t="str">
        <f t="shared" ref="K49:K51" si="104">"-0.03"</f>
        <v>-0.03</v>
      </c>
      <c r="L49" s="4" t="str">
        <f t="shared" ref="L49:W49" si="105">"0.00"</f>
        <v>0.00</v>
      </c>
      <c r="M49" s="4" t="str">
        <f t="shared" si="62"/>
        <v>0.000</v>
      </c>
      <c r="N49" s="4" t="str">
        <f>"429.83"</f>
        <v>429.83</v>
      </c>
      <c r="O49" s="4" t="str">
        <f t="shared" si="63"/>
        <v>0</v>
      </c>
      <c r="P49" s="4" t="str">
        <f t="shared" si="105"/>
        <v>0.00</v>
      </c>
      <c r="Q49" s="4" t="str">
        <f t="shared" si="105"/>
        <v>0.00</v>
      </c>
      <c r="R49" s="4" t="str">
        <f t="shared" si="105"/>
        <v>0.00</v>
      </c>
      <c r="S49" s="4" t="str">
        <f t="shared" si="105"/>
        <v>0.00</v>
      </c>
      <c r="T49" s="4" t="str">
        <f t="shared" si="105"/>
        <v>0.00</v>
      </c>
      <c r="U49" s="4" t="str">
        <f t="shared" si="105"/>
        <v>0.00</v>
      </c>
      <c r="V49" s="4" t="str">
        <f t="shared" si="105"/>
        <v>0.00</v>
      </c>
      <c r="W49" s="4" t="str">
        <f t="shared" si="105"/>
        <v>0.00</v>
      </c>
      <c r="X49" s="4" t="str">
        <f t="shared" si="64"/>
        <v>0.00000</v>
      </c>
      <c r="Y49" s="4" t="str">
        <f t="shared" si="65"/>
        <v>0</v>
      </c>
      <c r="Z49" s="4" t="str">
        <f t="shared" si="66"/>
        <v>0</v>
      </c>
      <c r="AA49" s="4" t="str">
        <f t="shared" si="13"/>
        <v>人民币</v>
      </c>
      <c r="AB49" s="4" t="str">
        <f t="shared" si="14"/>
        <v>A368402599</v>
      </c>
    </row>
    <row r="50" spans="1:28">
      <c r="A50" s="4" t="str">
        <f>"20200902"</f>
        <v>20200902</v>
      </c>
      <c r="B50" s="4" t="str">
        <f>"20200902"</f>
        <v>20200902</v>
      </c>
      <c r="C50" s="4" t="str">
        <f t="shared" si="52"/>
        <v>0</v>
      </c>
      <c r="D50" s="4" t="str">
        <f t="shared" si="53"/>
        <v>00:00:00</v>
      </c>
      <c r="E50" s="4" t="str">
        <f t="shared" si="54"/>
        <v>港股通组合费</v>
      </c>
      <c r="F50" s="4" t="str">
        <f t="shared" si="55"/>
        <v/>
      </c>
      <c r="G50" s="4" t="str">
        <f t="shared" si="56"/>
        <v/>
      </c>
      <c r="H50" s="4" t="str">
        <f t="shared" si="57"/>
        <v>0.00</v>
      </c>
      <c r="I50" s="4" t="str">
        <f t="shared" si="58"/>
        <v>0</v>
      </c>
      <c r="J50" s="4" t="str">
        <f t="shared" si="103"/>
        <v>0.03</v>
      </c>
      <c r="K50" s="4" t="str">
        <f t="shared" si="104"/>
        <v>-0.03</v>
      </c>
      <c r="L50" s="4" t="str">
        <f t="shared" ref="L50:W50" si="106">"0.00"</f>
        <v>0.00</v>
      </c>
      <c r="M50" s="4" t="str">
        <f t="shared" si="62"/>
        <v>0.000</v>
      </c>
      <c r="N50" s="4" t="str">
        <f>"18977.46"</f>
        <v>18977.46</v>
      </c>
      <c r="O50" s="4" t="str">
        <f t="shared" si="63"/>
        <v>0</v>
      </c>
      <c r="P50" s="4" t="str">
        <f t="shared" si="106"/>
        <v>0.00</v>
      </c>
      <c r="Q50" s="4" t="str">
        <f t="shared" si="106"/>
        <v>0.00</v>
      </c>
      <c r="R50" s="4" t="str">
        <f t="shared" si="106"/>
        <v>0.00</v>
      </c>
      <c r="S50" s="4" t="str">
        <f t="shared" si="106"/>
        <v>0.00</v>
      </c>
      <c r="T50" s="4" t="str">
        <f t="shared" si="106"/>
        <v>0.00</v>
      </c>
      <c r="U50" s="4" t="str">
        <f t="shared" si="106"/>
        <v>0.00</v>
      </c>
      <c r="V50" s="4" t="str">
        <f t="shared" si="106"/>
        <v>0.00</v>
      </c>
      <c r="W50" s="4" t="str">
        <f t="shared" si="106"/>
        <v>0.00</v>
      </c>
      <c r="X50" s="4" t="str">
        <f t="shared" si="64"/>
        <v>0.00000</v>
      </c>
      <c r="Y50" s="4" t="str">
        <f t="shared" si="65"/>
        <v>0</v>
      </c>
      <c r="Z50" s="4" t="str">
        <f t="shared" si="66"/>
        <v>0</v>
      </c>
      <c r="AA50" s="4" t="str">
        <f t="shared" si="13"/>
        <v>人民币</v>
      </c>
      <c r="AB50" s="4" t="str">
        <f t="shared" si="14"/>
        <v>A368402599</v>
      </c>
    </row>
    <row r="51" spans="1:28">
      <c r="A51" s="4" t="str">
        <f>"20200903"</f>
        <v>20200903</v>
      </c>
      <c r="B51" s="4" t="str">
        <f>"20200903"</f>
        <v>20200903</v>
      </c>
      <c r="C51" s="4" t="str">
        <f t="shared" si="52"/>
        <v>0</v>
      </c>
      <c r="D51" s="4" t="str">
        <f t="shared" si="53"/>
        <v>00:00:00</v>
      </c>
      <c r="E51" s="4" t="str">
        <f t="shared" si="54"/>
        <v>港股通组合费</v>
      </c>
      <c r="F51" s="4" t="str">
        <f t="shared" si="55"/>
        <v/>
      </c>
      <c r="G51" s="4" t="str">
        <f t="shared" si="56"/>
        <v/>
      </c>
      <c r="H51" s="4" t="str">
        <f t="shared" si="57"/>
        <v>0.00</v>
      </c>
      <c r="I51" s="4" t="str">
        <f t="shared" si="58"/>
        <v>0</v>
      </c>
      <c r="J51" s="4" t="str">
        <f t="shared" si="103"/>
        <v>0.03</v>
      </c>
      <c r="K51" s="4" t="str">
        <f t="shared" si="104"/>
        <v>-0.03</v>
      </c>
      <c r="L51" s="4" t="str">
        <f t="shared" ref="L51:W51" si="107">"0.00"</f>
        <v>0.00</v>
      </c>
      <c r="M51" s="4" t="str">
        <f t="shared" si="62"/>
        <v>0.000</v>
      </c>
      <c r="N51" s="4" t="str">
        <f>"18977.43"</f>
        <v>18977.43</v>
      </c>
      <c r="O51" s="4" t="str">
        <f t="shared" si="63"/>
        <v>0</v>
      </c>
      <c r="P51" s="4" t="str">
        <f t="shared" si="107"/>
        <v>0.00</v>
      </c>
      <c r="Q51" s="4" t="str">
        <f t="shared" si="107"/>
        <v>0.00</v>
      </c>
      <c r="R51" s="4" t="str">
        <f t="shared" si="107"/>
        <v>0.00</v>
      </c>
      <c r="S51" s="4" t="str">
        <f t="shared" si="107"/>
        <v>0.00</v>
      </c>
      <c r="T51" s="4" t="str">
        <f t="shared" si="107"/>
        <v>0.00</v>
      </c>
      <c r="U51" s="4" t="str">
        <f t="shared" si="107"/>
        <v>0.00</v>
      </c>
      <c r="V51" s="4" t="str">
        <f t="shared" si="107"/>
        <v>0.00</v>
      </c>
      <c r="W51" s="4" t="str">
        <f t="shared" si="107"/>
        <v>0.00</v>
      </c>
      <c r="X51" s="4" t="str">
        <f t="shared" si="64"/>
        <v>0.00000</v>
      </c>
      <c r="Y51" s="4" t="str">
        <f t="shared" si="65"/>
        <v>0</v>
      </c>
      <c r="Z51" s="4" t="str">
        <f t="shared" si="66"/>
        <v>0</v>
      </c>
      <c r="AA51" s="4" t="str">
        <f t="shared" si="13"/>
        <v>人民币</v>
      </c>
      <c r="AB51" s="4" t="str">
        <f t="shared" si="14"/>
        <v>A368402599</v>
      </c>
    </row>
    <row r="52" spans="1:28">
      <c r="A52" s="4" t="str">
        <f>"20200904"</f>
        <v>20200904</v>
      </c>
      <c r="B52" s="4" t="str">
        <f>"20200902"</f>
        <v>20200902</v>
      </c>
      <c r="C52" s="4" t="str">
        <f>"20200902"</f>
        <v>20200902</v>
      </c>
      <c r="D52" s="4" t="str">
        <f>"09:41:35"</f>
        <v>09:41:35</v>
      </c>
      <c r="E52" s="4" t="str">
        <f>"港股通股票买入"</f>
        <v>港股通股票买入</v>
      </c>
      <c r="F52" s="4" t="str">
        <f>"00386"</f>
        <v>00386</v>
      </c>
      <c r="G52" s="4" t="str">
        <f>"中国石油"</f>
        <v>中国石油</v>
      </c>
      <c r="H52" s="4" t="str">
        <f>"3.06"</f>
        <v>3.06</v>
      </c>
      <c r="I52" s="4" t="str">
        <f>"6000"</f>
        <v>6000</v>
      </c>
      <c r="J52" s="4" t="str">
        <f>"18390.06"</f>
        <v>18390.06</v>
      </c>
      <c r="K52" s="4" t="str">
        <f>"-18421.37"</f>
        <v>-18421.37</v>
      </c>
      <c r="L52" s="4" t="str">
        <f>"6000.00"</f>
        <v>6000.00</v>
      </c>
      <c r="M52" s="4" t="str">
        <f>"3.480"</f>
        <v>3.480</v>
      </c>
      <c r="N52" s="4" t="str">
        <f>"556.06"</f>
        <v>556.06</v>
      </c>
      <c r="O52" s="4" t="str">
        <f>"44000"</f>
        <v>44000</v>
      </c>
      <c r="P52" s="4" t="str">
        <f>"18.49"</f>
        <v>18.49</v>
      </c>
      <c r="Q52" s="4" t="str">
        <f>"9.20"</f>
        <v>9.20</v>
      </c>
      <c r="R52" s="4" t="str">
        <f>"1.76"</f>
        <v>1.76</v>
      </c>
      <c r="S52" s="4" t="str">
        <f>"0.91"</f>
        <v>0.91</v>
      </c>
      <c r="T52" s="4" t="str">
        <f>"0.00"</f>
        <v>0.00</v>
      </c>
      <c r="U52" s="4" t="str">
        <f>"0.44"</f>
        <v>0.44</v>
      </c>
      <c r="V52" s="4" t="str">
        <f>"0.49"</f>
        <v>0.49</v>
      </c>
      <c r="W52" s="4" t="str">
        <f>"0.02"</f>
        <v>0.02</v>
      </c>
      <c r="X52" s="4" t="str">
        <f>"0.88075"</f>
        <v>0.88075</v>
      </c>
      <c r="Y52" s="4" t="str">
        <f>"386000000808"</f>
        <v>386000000808</v>
      </c>
      <c r="Z52" s="4" t="str">
        <f>"94801"</f>
        <v>94801</v>
      </c>
      <c r="AA52" s="4" t="str">
        <f t="shared" si="13"/>
        <v>人民币</v>
      </c>
      <c r="AB52" s="4" t="str">
        <f t="shared" si="14"/>
        <v>A368402599</v>
      </c>
    </row>
    <row r="53" spans="1:28">
      <c r="A53" s="4" t="str">
        <f>"20200904"</f>
        <v>20200904</v>
      </c>
      <c r="B53" s="4" t="str">
        <f>"20200904"</f>
        <v>20200904</v>
      </c>
      <c r="C53" s="4" t="str">
        <f t="shared" ref="C53:C67" si="108">"0"</f>
        <v>0</v>
      </c>
      <c r="D53" s="4" t="str">
        <f t="shared" ref="D53:D67" si="109">"00:00:00"</f>
        <v>00:00:00</v>
      </c>
      <c r="E53" s="4" t="str">
        <f t="shared" ref="E53:E67" si="110">"港股通组合费"</f>
        <v>港股通组合费</v>
      </c>
      <c r="F53" s="4" t="str">
        <f t="shared" ref="F53:F67" si="111">""</f>
        <v/>
      </c>
      <c r="G53" s="4" t="str">
        <f t="shared" ref="G53:G67" si="112">""</f>
        <v/>
      </c>
      <c r="H53" s="4" t="str">
        <f t="shared" ref="H53:H67" si="113">"0.00"</f>
        <v>0.00</v>
      </c>
      <c r="I53" s="4" t="str">
        <f t="shared" ref="I53:I67" si="114">"0"</f>
        <v>0</v>
      </c>
      <c r="J53" s="4" t="str">
        <f>"0.03"</f>
        <v>0.03</v>
      </c>
      <c r="K53" s="4" t="str">
        <f>"-0.03"</f>
        <v>-0.03</v>
      </c>
      <c r="L53" s="4" t="str">
        <f t="shared" ref="L53:W53" si="115">"0.00"</f>
        <v>0.00</v>
      </c>
      <c r="M53" s="4" t="str">
        <f t="shared" ref="M53:M67" si="116">"0.000"</f>
        <v>0.000</v>
      </c>
      <c r="N53" s="4" t="str">
        <f>"556.03"</f>
        <v>556.03</v>
      </c>
      <c r="O53" s="4" t="str">
        <f t="shared" ref="O53:O67" si="117">"0"</f>
        <v>0</v>
      </c>
      <c r="P53" s="4" t="str">
        <f t="shared" si="115"/>
        <v>0.00</v>
      </c>
      <c r="Q53" s="4" t="str">
        <f t="shared" si="115"/>
        <v>0.00</v>
      </c>
      <c r="R53" s="4" t="str">
        <f t="shared" si="115"/>
        <v>0.00</v>
      </c>
      <c r="S53" s="4" t="str">
        <f t="shared" si="115"/>
        <v>0.00</v>
      </c>
      <c r="T53" s="4" t="str">
        <f t="shared" si="115"/>
        <v>0.00</v>
      </c>
      <c r="U53" s="4" t="str">
        <f t="shared" si="115"/>
        <v>0.00</v>
      </c>
      <c r="V53" s="4" t="str">
        <f t="shared" si="115"/>
        <v>0.00</v>
      </c>
      <c r="W53" s="4" t="str">
        <f t="shared" si="115"/>
        <v>0.00</v>
      </c>
      <c r="X53" s="4" t="str">
        <f t="shared" ref="X53:X67" si="118">"0.00000"</f>
        <v>0.00000</v>
      </c>
      <c r="Y53" s="4" t="str">
        <f t="shared" ref="Y53:Y67" si="119">"0"</f>
        <v>0</v>
      </c>
      <c r="Z53" s="4" t="str">
        <f t="shared" ref="Z53:Z67" si="120">"0"</f>
        <v>0</v>
      </c>
      <c r="AA53" s="4" t="str">
        <f t="shared" si="13"/>
        <v>人民币</v>
      </c>
      <c r="AB53" s="4" t="str">
        <f t="shared" si="14"/>
        <v>A368402599</v>
      </c>
    </row>
    <row r="54" spans="1:28">
      <c r="A54" s="4" t="str">
        <f>"20200907"</f>
        <v>20200907</v>
      </c>
      <c r="B54" s="4" t="str">
        <f>"20200907"</f>
        <v>20200907</v>
      </c>
      <c r="C54" s="4" t="str">
        <f t="shared" si="108"/>
        <v>0</v>
      </c>
      <c r="D54" s="4" t="str">
        <f t="shared" si="109"/>
        <v>00:00:00</v>
      </c>
      <c r="E54" s="4" t="str">
        <f t="shared" si="110"/>
        <v>港股通组合费</v>
      </c>
      <c r="F54" s="4" t="str">
        <f t="shared" si="111"/>
        <v/>
      </c>
      <c r="G54" s="4" t="str">
        <f t="shared" si="112"/>
        <v/>
      </c>
      <c r="H54" s="4" t="str">
        <f t="shared" si="113"/>
        <v>0.00</v>
      </c>
      <c r="I54" s="4" t="str">
        <f t="shared" si="114"/>
        <v>0</v>
      </c>
      <c r="J54" s="4" t="str">
        <f>"0.11"</f>
        <v>0.11</v>
      </c>
      <c r="K54" s="4" t="str">
        <f>"-0.11"</f>
        <v>-0.11</v>
      </c>
      <c r="L54" s="4" t="str">
        <f t="shared" ref="L54:W54" si="121">"0.00"</f>
        <v>0.00</v>
      </c>
      <c r="M54" s="4" t="str">
        <f t="shared" si="116"/>
        <v>0.000</v>
      </c>
      <c r="N54" s="4" t="str">
        <f>"555.92"</f>
        <v>555.92</v>
      </c>
      <c r="O54" s="4" t="str">
        <f t="shared" si="117"/>
        <v>0</v>
      </c>
      <c r="P54" s="4" t="str">
        <f t="shared" si="121"/>
        <v>0.00</v>
      </c>
      <c r="Q54" s="4" t="str">
        <f t="shared" si="121"/>
        <v>0.00</v>
      </c>
      <c r="R54" s="4" t="str">
        <f t="shared" si="121"/>
        <v>0.00</v>
      </c>
      <c r="S54" s="4" t="str">
        <f t="shared" si="121"/>
        <v>0.00</v>
      </c>
      <c r="T54" s="4" t="str">
        <f t="shared" si="121"/>
        <v>0.00</v>
      </c>
      <c r="U54" s="4" t="str">
        <f t="shared" si="121"/>
        <v>0.00</v>
      </c>
      <c r="V54" s="4" t="str">
        <f t="shared" si="121"/>
        <v>0.00</v>
      </c>
      <c r="W54" s="4" t="str">
        <f t="shared" si="121"/>
        <v>0.00</v>
      </c>
      <c r="X54" s="4" t="str">
        <f t="shared" si="118"/>
        <v>0.00000</v>
      </c>
      <c r="Y54" s="4" t="str">
        <f t="shared" si="119"/>
        <v>0</v>
      </c>
      <c r="Z54" s="4" t="str">
        <f t="shared" si="120"/>
        <v>0</v>
      </c>
      <c r="AA54" s="4" t="str">
        <f t="shared" si="13"/>
        <v>人民币</v>
      </c>
      <c r="AB54" s="4" t="str">
        <f t="shared" si="14"/>
        <v>A368402599</v>
      </c>
    </row>
    <row r="55" spans="1:28">
      <c r="A55" s="4" t="str">
        <f>"20200908"</f>
        <v>20200908</v>
      </c>
      <c r="B55" s="4" t="str">
        <f>"20200908"</f>
        <v>20200908</v>
      </c>
      <c r="C55" s="4" t="str">
        <f t="shared" si="108"/>
        <v>0</v>
      </c>
      <c r="D55" s="4" t="str">
        <f t="shared" si="109"/>
        <v>00:00:00</v>
      </c>
      <c r="E55" s="4" t="str">
        <f t="shared" si="110"/>
        <v>港股通组合费</v>
      </c>
      <c r="F55" s="4" t="str">
        <f t="shared" si="111"/>
        <v/>
      </c>
      <c r="G55" s="4" t="str">
        <f t="shared" si="112"/>
        <v/>
      </c>
      <c r="H55" s="4" t="str">
        <f t="shared" si="113"/>
        <v>0.00</v>
      </c>
      <c r="I55" s="4" t="str">
        <f t="shared" si="114"/>
        <v>0</v>
      </c>
      <c r="J55" s="4" t="str">
        <f t="shared" ref="J55:J58" si="122">"0.04"</f>
        <v>0.04</v>
      </c>
      <c r="K55" s="4" t="str">
        <f t="shared" ref="K55:K58" si="123">"-0.04"</f>
        <v>-0.04</v>
      </c>
      <c r="L55" s="4" t="str">
        <f t="shared" ref="L55:W55" si="124">"0.00"</f>
        <v>0.00</v>
      </c>
      <c r="M55" s="4" t="str">
        <f t="shared" si="116"/>
        <v>0.000</v>
      </c>
      <c r="N55" s="4" t="str">
        <f>"555.88"</f>
        <v>555.88</v>
      </c>
      <c r="O55" s="4" t="str">
        <f t="shared" si="117"/>
        <v>0</v>
      </c>
      <c r="P55" s="4" t="str">
        <f t="shared" si="124"/>
        <v>0.00</v>
      </c>
      <c r="Q55" s="4" t="str">
        <f t="shared" si="124"/>
        <v>0.00</v>
      </c>
      <c r="R55" s="4" t="str">
        <f t="shared" si="124"/>
        <v>0.00</v>
      </c>
      <c r="S55" s="4" t="str">
        <f t="shared" si="124"/>
        <v>0.00</v>
      </c>
      <c r="T55" s="4" t="str">
        <f t="shared" si="124"/>
        <v>0.00</v>
      </c>
      <c r="U55" s="4" t="str">
        <f t="shared" si="124"/>
        <v>0.00</v>
      </c>
      <c r="V55" s="4" t="str">
        <f t="shared" si="124"/>
        <v>0.00</v>
      </c>
      <c r="W55" s="4" t="str">
        <f t="shared" si="124"/>
        <v>0.00</v>
      </c>
      <c r="X55" s="4" t="str">
        <f t="shared" si="118"/>
        <v>0.00000</v>
      </c>
      <c r="Y55" s="4" t="str">
        <f t="shared" si="119"/>
        <v>0</v>
      </c>
      <c r="Z55" s="4" t="str">
        <f t="shared" si="120"/>
        <v>0</v>
      </c>
      <c r="AA55" s="4" t="str">
        <f t="shared" si="13"/>
        <v>人民币</v>
      </c>
      <c r="AB55" s="4" t="str">
        <f t="shared" si="14"/>
        <v>A368402599</v>
      </c>
    </row>
    <row r="56" spans="1:28">
      <c r="A56" s="4" t="str">
        <f>"20200909"</f>
        <v>20200909</v>
      </c>
      <c r="B56" s="4" t="str">
        <f>"20200909"</f>
        <v>20200909</v>
      </c>
      <c r="C56" s="4" t="str">
        <f t="shared" si="108"/>
        <v>0</v>
      </c>
      <c r="D56" s="4" t="str">
        <f t="shared" si="109"/>
        <v>00:00:00</v>
      </c>
      <c r="E56" s="4" t="str">
        <f t="shared" si="110"/>
        <v>港股通组合费</v>
      </c>
      <c r="F56" s="4" t="str">
        <f t="shared" si="111"/>
        <v/>
      </c>
      <c r="G56" s="4" t="str">
        <f t="shared" si="112"/>
        <v/>
      </c>
      <c r="H56" s="4" t="str">
        <f t="shared" si="113"/>
        <v>0.00</v>
      </c>
      <c r="I56" s="4" t="str">
        <f t="shared" si="114"/>
        <v>0</v>
      </c>
      <c r="J56" s="4" t="str">
        <f t="shared" si="122"/>
        <v>0.04</v>
      </c>
      <c r="K56" s="4" t="str">
        <f t="shared" si="123"/>
        <v>-0.04</v>
      </c>
      <c r="L56" s="4" t="str">
        <f t="shared" ref="L56:W56" si="125">"0.00"</f>
        <v>0.00</v>
      </c>
      <c r="M56" s="4" t="str">
        <f t="shared" si="116"/>
        <v>0.000</v>
      </c>
      <c r="N56" s="4" t="str">
        <f>"555.84"</f>
        <v>555.84</v>
      </c>
      <c r="O56" s="4" t="str">
        <f t="shared" si="117"/>
        <v>0</v>
      </c>
      <c r="P56" s="4" t="str">
        <f t="shared" si="125"/>
        <v>0.00</v>
      </c>
      <c r="Q56" s="4" t="str">
        <f t="shared" si="125"/>
        <v>0.00</v>
      </c>
      <c r="R56" s="4" t="str">
        <f t="shared" si="125"/>
        <v>0.00</v>
      </c>
      <c r="S56" s="4" t="str">
        <f t="shared" si="125"/>
        <v>0.00</v>
      </c>
      <c r="T56" s="4" t="str">
        <f t="shared" si="125"/>
        <v>0.00</v>
      </c>
      <c r="U56" s="4" t="str">
        <f t="shared" si="125"/>
        <v>0.00</v>
      </c>
      <c r="V56" s="4" t="str">
        <f t="shared" si="125"/>
        <v>0.00</v>
      </c>
      <c r="W56" s="4" t="str">
        <f t="shared" si="125"/>
        <v>0.00</v>
      </c>
      <c r="X56" s="4" t="str">
        <f t="shared" si="118"/>
        <v>0.00000</v>
      </c>
      <c r="Y56" s="4" t="str">
        <f t="shared" si="119"/>
        <v>0</v>
      </c>
      <c r="Z56" s="4" t="str">
        <f t="shared" si="120"/>
        <v>0</v>
      </c>
      <c r="AA56" s="4" t="str">
        <f t="shared" si="13"/>
        <v>人民币</v>
      </c>
      <c r="AB56" s="4" t="str">
        <f t="shared" si="14"/>
        <v>A368402599</v>
      </c>
    </row>
    <row r="57" spans="1:28">
      <c r="A57" s="4" t="str">
        <f>"20200910"</f>
        <v>20200910</v>
      </c>
      <c r="B57" s="4" t="str">
        <f>"20200910"</f>
        <v>20200910</v>
      </c>
      <c r="C57" s="4" t="str">
        <f t="shared" si="108"/>
        <v>0</v>
      </c>
      <c r="D57" s="4" t="str">
        <f t="shared" si="109"/>
        <v>00:00:00</v>
      </c>
      <c r="E57" s="4" t="str">
        <f t="shared" si="110"/>
        <v>港股通组合费</v>
      </c>
      <c r="F57" s="4" t="str">
        <f t="shared" si="111"/>
        <v/>
      </c>
      <c r="G57" s="4" t="str">
        <f t="shared" si="112"/>
        <v/>
      </c>
      <c r="H57" s="4" t="str">
        <f t="shared" si="113"/>
        <v>0.00</v>
      </c>
      <c r="I57" s="4" t="str">
        <f t="shared" si="114"/>
        <v>0</v>
      </c>
      <c r="J57" s="4" t="str">
        <f t="shared" si="122"/>
        <v>0.04</v>
      </c>
      <c r="K57" s="4" t="str">
        <f t="shared" si="123"/>
        <v>-0.04</v>
      </c>
      <c r="L57" s="4" t="str">
        <f t="shared" ref="L57:W57" si="126">"0.00"</f>
        <v>0.00</v>
      </c>
      <c r="M57" s="4" t="str">
        <f t="shared" si="116"/>
        <v>0.000</v>
      </c>
      <c r="N57" s="4" t="str">
        <f>"555.80"</f>
        <v>555.80</v>
      </c>
      <c r="O57" s="4" t="str">
        <f t="shared" si="117"/>
        <v>0</v>
      </c>
      <c r="P57" s="4" t="str">
        <f t="shared" si="126"/>
        <v>0.00</v>
      </c>
      <c r="Q57" s="4" t="str">
        <f t="shared" si="126"/>
        <v>0.00</v>
      </c>
      <c r="R57" s="4" t="str">
        <f t="shared" si="126"/>
        <v>0.00</v>
      </c>
      <c r="S57" s="4" t="str">
        <f t="shared" si="126"/>
        <v>0.00</v>
      </c>
      <c r="T57" s="4" t="str">
        <f t="shared" si="126"/>
        <v>0.00</v>
      </c>
      <c r="U57" s="4" t="str">
        <f t="shared" si="126"/>
        <v>0.00</v>
      </c>
      <c r="V57" s="4" t="str">
        <f t="shared" si="126"/>
        <v>0.00</v>
      </c>
      <c r="W57" s="4" t="str">
        <f t="shared" si="126"/>
        <v>0.00</v>
      </c>
      <c r="X57" s="4" t="str">
        <f t="shared" si="118"/>
        <v>0.00000</v>
      </c>
      <c r="Y57" s="4" t="str">
        <f t="shared" si="119"/>
        <v>0</v>
      </c>
      <c r="Z57" s="4" t="str">
        <f t="shared" si="120"/>
        <v>0</v>
      </c>
      <c r="AA57" s="4" t="str">
        <f t="shared" si="13"/>
        <v>人民币</v>
      </c>
      <c r="AB57" s="4" t="str">
        <f t="shared" si="14"/>
        <v>A368402599</v>
      </c>
    </row>
    <row r="58" spans="1:28">
      <c r="A58" s="4" t="str">
        <f>"20200911"</f>
        <v>20200911</v>
      </c>
      <c r="B58" s="4" t="str">
        <f>"20200911"</f>
        <v>20200911</v>
      </c>
      <c r="C58" s="4" t="str">
        <f t="shared" si="108"/>
        <v>0</v>
      </c>
      <c r="D58" s="4" t="str">
        <f t="shared" si="109"/>
        <v>00:00:00</v>
      </c>
      <c r="E58" s="4" t="str">
        <f t="shared" si="110"/>
        <v>港股通组合费</v>
      </c>
      <c r="F58" s="4" t="str">
        <f t="shared" si="111"/>
        <v/>
      </c>
      <c r="G58" s="4" t="str">
        <f t="shared" si="112"/>
        <v/>
      </c>
      <c r="H58" s="4" t="str">
        <f t="shared" si="113"/>
        <v>0.00</v>
      </c>
      <c r="I58" s="4" t="str">
        <f t="shared" si="114"/>
        <v>0</v>
      </c>
      <c r="J58" s="4" t="str">
        <f t="shared" si="122"/>
        <v>0.04</v>
      </c>
      <c r="K58" s="4" t="str">
        <f t="shared" si="123"/>
        <v>-0.04</v>
      </c>
      <c r="L58" s="4" t="str">
        <f t="shared" ref="L58:W58" si="127">"0.00"</f>
        <v>0.00</v>
      </c>
      <c r="M58" s="4" t="str">
        <f t="shared" si="116"/>
        <v>0.000</v>
      </c>
      <c r="N58" s="4" t="str">
        <f>"555.76"</f>
        <v>555.76</v>
      </c>
      <c r="O58" s="4" t="str">
        <f t="shared" si="117"/>
        <v>0</v>
      </c>
      <c r="P58" s="4" t="str">
        <f t="shared" si="127"/>
        <v>0.00</v>
      </c>
      <c r="Q58" s="4" t="str">
        <f t="shared" si="127"/>
        <v>0.00</v>
      </c>
      <c r="R58" s="4" t="str">
        <f t="shared" si="127"/>
        <v>0.00</v>
      </c>
      <c r="S58" s="4" t="str">
        <f t="shared" si="127"/>
        <v>0.00</v>
      </c>
      <c r="T58" s="4" t="str">
        <f t="shared" si="127"/>
        <v>0.00</v>
      </c>
      <c r="U58" s="4" t="str">
        <f t="shared" si="127"/>
        <v>0.00</v>
      </c>
      <c r="V58" s="4" t="str">
        <f t="shared" si="127"/>
        <v>0.00</v>
      </c>
      <c r="W58" s="4" t="str">
        <f t="shared" si="127"/>
        <v>0.00</v>
      </c>
      <c r="X58" s="4" t="str">
        <f t="shared" si="118"/>
        <v>0.00000</v>
      </c>
      <c r="Y58" s="4" t="str">
        <f t="shared" si="119"/>
        <v>0</v>
      </c>
      <c r="Z58" s="4" t="str">
        <f t="shared" si="120"/>
        <v>0</v>
      </c>
      <c r="AA58" s="4" t="str">
        <f t="shared" si="13"/>
        <v>人民币</v>
      </c>
      <c r="AB58" s="4" t="str">
        <f t="shared" si="14"/>
        <v>A368402599</v>
      </c>
    </row>
    <row r="59" spans="1:28">
      <c r="A59" s="4" t="str">
        <f>"20200914"</f>
        <v>20200914</v>
      </c>
      <c r="B59" s="4" t="str">
        <f>"20200914"</f>
        <v>20200914</v>
      </c>
      <c r="C59" s="4" t="str">
        <f t="shared" si="108"/>
        <v>0</v>
      </c>
      <c r="D59" s="4" t="str">
        <f t="shared" si="109"/>
        <v>00:00:00</v>
      </c>
      <c r="E59" s="4" t="str">
        <f t="shared" si="110"/>
        <v>港股通组合费</v>
      </c>
      <c r="F59" s="4" t="str">
        <f t="shared" si="111"/>
        <v/>
      </c>
      <c r="G59" s="4" t="str">
        <f t="shared" si="112"/>
        <v/>
      </c>
      <c r="H59" s="4" t="str">
        <f t="shared" si="113"/>
        <v>0.00</v>
      </c>
      <c r="I59" s="4" t="str">
        <f t="shared" si="114"/>
        <v>0</v>
      </c>
      <c r="J59" s="4" t="str">
        <f>"0.11"</f>
        <v>0.11</v>
      </c>
      <c r="K59" s="4" t="str">
        <f>"-0.11"</f>
        <v>-0.11</v>
      </c>
      <c r="L59" s="4" t="str">
        <f t="shared" ref="L59:W59" si="128">"0.00"</f>
        <v>0.00</v>
      </c>
      <c r="M59" s="4" t="str">
        <f t="shared" si="116"/>
        <v>0.000</v>
      </c>
      <c r="N59" s="4" t="str">
        <f>"555.65"</f>
        <v>555.65</v>
      </c>
      <c r="O59" s="4" t="str">
        <f t="shared" si="117"/>
        <v>0</v>
      </c>
      <c r="P59" s="4" t="str">
        <f t="shared" si="128"/>
        <v>0.00</v>
      </c>
      <c r="Q59" s="4" t="str">
        <f t="shared" si="128"/>
        <v>0.00</v>
      </c>
      <c r="R59" s="4" t="str">
        <f t="shared" si="128"/>
        <v>0.00</v>
      </c>
      <c r="S59" s="4" t="str">
        <f t="shared" si="128"/>
        <v>0.00</v>
      </c>
      <c r="T59" s="4" t="str">
        <f t="shared" si="128"/>
        <v>0.00</v>
      </c>
      <c r="U59" s="4" t="str">
        <f t="shared" si="128"/>
        <v>0.00</v>
      </c>
      <c r="V59" s="4" t="str">
        <f t="shared" si="128"/>
        <v>0.00</v>
      </c>
      <c r="W59" s="4" t="str">
        <f t="shared" si="128"/>
        <v>0.00</v>
      </c>
      <c r="X59" s="4" t="str">
        <f t="shared" si="118"/>
        <v>0.00000</v>
      </c>
      <c r="Y59" s="4" t="str">
        <f t="shared" si="119"/>
        <v>0</v>
      </c>
      <c r="Z59" s="4" t="str">
        <f t="shared" si="120"/>
        <v>0</v>
      </c>
      <c r="AA59" s="4" t="str">
        <f t="shared" si="13"/>
        <v>人民币</v>
      </c>
      <c r="AB59" s="4" t="str">
        <f t="shared" si="14"/>
        <v>A368402599</v>
      </c>
    </row>
    <row r="60" spans="1:28">
      <c r="A60" s="4" t="str">
        <f>"20200915"</f>
        <v>20200915</v>
      </c>
      <c r="B60" s="4" t="str">
        <f>"20200915"</f>
        <v>20200915</v>
      </c>
      <c r="C60" s="4" t="str">
        <f t="shared" si="108"/>
        <v>0</v>
      </c>
      <c r="D60" s="4" t="str">
        <f t="shared" si="109"/>
        <v>00:00:00</v>
      </c>
      <c r="E60" s="4" t="str">
        <f t="shared" si="110"/>
        <v>港股通组合费</v>
      </c>
      <c r="F60" s="4" t="str">
        <f t="shared" si="111"/>
        <v/>
      </c>
      <c r="G60" s="4" t="str">
        <f t="shared" si="112"/>
        <v/>
      </c>
      <c r="H60" s="4" t="str">
        <f t="shared" si="113"/>
        <v>0.00</v>
      </c>
      <c r="I60" s="4" t="str">
        <f t="shared" si="114"/>
        <v>0</v>
      </c>
      <c r="J60" s="4" t="str">
        <f>"0.04"</f>
        <v>0.04</v>
      </c>
      <c r="K60" s="4" t="str">
        <f>"-0.04"</f>
        <v>-0.04</v>
      </c>
      <c r="L60" s="4" t="str">
        <f t="shared" ref="L60:W60" si="129">"0.00"</f>
        <v>0.00</v>
      </c>
      <c r="M60" s="4" t="str">
        <f t="shared" si="116"/>
        <v>0.000</v>
      </c>
      <c r="N60" s="4" t="str">
        <f>"555.61"</f>
        <v>555.61</v>
      </c>
      <c r="O60" s="4" t="str">
        <f t="shared" si="117"/>
        <v>0</v>
      </c>
      <c r="P60" s="4" t="str">
        <f t="shared" si="129"/>
        <v>0.00</v>
      </c>
      <c r="Q60" s="4" t="str">
        <f t="shared" si="129"/>
        <v>0.00</v>
      </c>
      <c r="R60" s="4" t="str">
        <f t="shared" si="129"/>
        <v>0.00</v>
      </c>
      <c r="S60" s="4" t="str">
        <f t="shared" si="129"/>
        <v>0.00</v>
      </c>
      <c r="T60" s="4" t="str">
        <f t="shared" si="129"/>
        <v>0.00</v>
      </c>
      <c r="U60" s="4" t="str">
        <f t="shared" si="129"/>
        <v>0.00</v>
      </c>
      <c r="V60" s="4" t="str">
        <f t="shared" si="129"/>
        <v>0.00</v>
      </c>
      <c r="W60" s="4" t="str">
        <f t="shared" si="129"/>
        <v>0.00</v>
      </c>
      <c r="X60" s="4" t="str">
        <f t="shared" si="118"/>
        <v>0.00000</v>
      </c>
      <c r="Y60" s="4" t="str">
        <f t="shared" si="119"/>
        <v>0</v>
      </c>
      <c r="Z60" s="4" t="str">
        <f t="shared" si="120"/>
        <v>0</v>
      </c>
      <c r="AA60" s="4" t="str">
        <f t="shared" si="13"/>
        <v>人民币</v>
      </c>
      <c r="AB60" s="4" t="str">
        <f t="shared" si="14"/>
        <v>A368402599</v>
      </c>
    </row>
    <row r="61" spans="1:28">
      <c r="A61" s="4" t="str">
        <f>"20200916"</f>
        <v>20200916</v>
      </c>
      <c r="B61" s="4" t="str">
        <f>"20200916"</f>
        <v>20200916</v>
      </c>
      <c r="C61" s="4" t="str">
        <f t="shared" si="108"/>
        <v>0</v>
      </c>
      <c r="D61" s="4" t="str">
        <f t="shared" si="109"/>
        <v>00:00:00</v>
      </c>
      <c r="E61" s="4" t="str">
        <f t="shared" si="110"/>
        <v>港股通组合费</v>
      </c>
      <c r="F61" s="4" t="str">
        <f t="shared" si="111"/>
        <v/>
      </c>
      <c r="G61" s="4" t="str">
        <f t="shared" si="112"/>
        <v/>
      </c>
      <c r="H61" s="4" t="str">
        <f t="shared" si="113"/>
        <v>0.00</v>
      </c>
      <c r="I61" s="4" t="str">
        <f t="shared" si="114"/>
        <v>0</v>
      </c>
      <c r="J61" s="4" t="str">
        <f t="shared" ref="J61:J63" si="130">"0.03"</f>
        <v>0.03</v>
      </c>
      <c r="K61" s="4" t="str">
        <f t="shared" ref="K61:K63" si="131">"-0.03"</f>
        <v>-0.03</v>
      </c>
      <c r="L61" s="4" t="str">
        <f t="shared" ref="L61:W61" si="132">"0.00"</f>
        <v>0.00</v>
      </c>
      <c r="M61" s="4" t="str">
        <f t="shared" si="116"/>
        <v>0.000</v>
      </c>
      <c r="N61" s="4" t="str">
        <f>"555.58"</f>
        <v>555.58</v>
      </c>
      <c r="O61" s="4" t="str">
        <f t="shared" si="117"/>
        <v>0</v>
      </c>
      <c r="P61" s="4" t="str">
        <f t="shared" si="132"/>
        <v>0.00</v>
      </c>
      <c r="Q61" s="4" t="str">
        <f t="shared" si="132"/>
        <v>0.00</v>
      </c>
      <c r="R61" s="4" t="str">
        <f t="shared" si="132"/>
        <v>0.00</v>
      </c>
      <c r="S61" s="4" t="str">
        <f t="shared" si="132"/>
        <v>0.00</v>
      </c>
      <c r="T61" s="4" t="str">
        <f t="shared" si="132"/>
        <v>0.00</v>
      </c>
      <c r="U61" s="4" t="str">
        <f t="shared" si="132"/>
        <v>0.00</v>
      </c>
      <c r="V61" s="4" t="str">
        <f t="shared" si="132"/>
        <v>0.00</v>
      </c>
      <c r="W61" s="4" t="str">
        <f t="shared" si="132"/>
        <v>0.00</v>
      </c>
      <c r="X61" s="4" t="str">
        <f t="shared" si="118"/>
        <v>0.00000</v>
      </c>
      <c r="Y61" s="4" t="str">
        <f t="shared" si="119"/>
        <v>0</v>
      </c>
      <c r="Z61" s="4" t="str">
        <f t="shared" si="120"/>
        <v>0</v>
      </c>
      <c r="AA61" s="4" t="str">
        <f t="shared" si="13"/>
        <v>人民币</v>
      </c>
      <c r="AB61" s="4" t="str">
        <f t="shared" si="14"/>
        <v>A368402599</v>
      </c>
    </row>
    <row r="62" spans="1:28">
      <c r="A62" s="4" t="str">
        <f>"20200917"</f>
        <v>20200917</v>
      </c>
      <c r="B62" s="4" t="str">
        <f>"20200917"</f>
        <v>20200917</v>
      </c>
      <c r="C62" s="4" t="str">
        <f t="shared" si="108"/>
        <v>0</v>
      </c>
      <c r="D62" s="4" t="str">
        <f t="shared" si="109"/>
        <v>00:00:00</v>
      </c>
      <c r="E62" s="4" t="str">
        <f t="shared" si="110"/>
        <v>港股通组合费</v>
      </c>
      <c r="F62" s="4" t="str">
        <f t="shared" si="111"/>
        <v/>
      </c>
      <c r="G62" s="4" t="str">
        <f t="shared" si="112"/>
        <v/>
      </c>
      <c r="H62" s="4" t="str">
        <f t="shared" si="113"/>
        <v>0.00</v>
      </c>
      <c r="I62" s="4" t="str">
        <f t="shared" si="114"/>
        <v>0</v>
      </c>
      <c r="J62" s="4" t="str">
        <f t="shared" si="130"/>
        <v>0.03</v>
      </c>
      <c r="K62" s="4" t="str">
        <f t="shared" si="131"/>
        <v>-0.03</v>
      </c>
      <c r="L62" s="4" t="str">
        <f t="shared" ref="L62:W62" si="133">"0.00"</f>
        <v>0.00</v>
      </c>
      <c r="M62" s="4" t="str">
        <f t="shared" si="116"/>
        <v>0.000</v>
      </c>
      <c r="N62" s="4" t="str">
        <f>"555.55"</f>
        <v>555.55</v>
      </c>
      <c r="O62" s="4" t="str">
        <f t="shared" si="117"/>
        <v>0</v>
      </c>
      <c r="P62" s="4" t="str">
        <f t="shared" si="133"/>
        <v>0.00</v>
      </c>
      <c r="Q62" s="4" t="str">
        <f t="shared" si="133"/>
        <v>0.00</v>
      </c>
      <c r="R62" s="4" t="str">
        <f t="shared" si="133"/>
        <v>0.00</v>
      </c>
      <c r="S62" s="4" t="str">
        <f t="shared" si="133"/>
        <v>0.00</v>
      </c>
      <c r="T62" s="4" t="str">
        <f t="shared" si="133"/>
        <v>0.00</v>
      </c>
      <c r="U62" s="4" t="str">
        <f t="shared" si="133"/>
        <v>0.00</v>
      </c>
      <c r="V62" s="4" t="str">
        <f t="shared" si="133"/>
        <v>0.00</v>
      </c>
      <c r="W62" s="4" t="str">
        <f t="shared" si="133"/>
        <v>0.00</v>
      </c>
      <c r="X62" s="4" t="str">
        <f t="shared" si="118"/>
        <v>0.00000</v>
      </c>
      <c r="Y62" s="4" t="str">
        <f t="shared" si="119"/>
        <v>0</v>
      </c>
      <c r="Z62" s="4" t="str">
        <f t="shared" si="120"/>
        <v>0</v>
      </c>
      <c r="AA62" s="4" t="str">
        <f t="shared" si="13"/>
        <v>人民币</v>
      </c>
      <c r="AB62" s="4" t="str">
        <f t="shared" si="14"/>
        <v>A368402599</v>
      </c>
    </row>
    <row r="63" spans="1:28">
      <c r="A63" s="4" t="str">
        <f>"20200918"</f>
        <v>20200918</v>
      </c>
      <c r="B63" s="4" t="str">
        <f>"20200918"</f>
        <v>20200918</v>
      </c>
      <c r="C63" s="4" t="str">
        <f t="shared" si="108"/>
        <v>0</v>
      </c>
      <c r="D63" s="4" t="str">
        <f t="shared" si="109"/>
        <v>00:00:00</v>
      </c>
      <c r="E63" s="4" t="str">
        <f t="shared" si="110"/>
        <v>港股通组合费</v>
      </c>
      <c r="F63" s="4" t="str">
        <f t="shared" si="111"/>
        <v/>
      </c>
      <c r="G63" s="4" t="str">
        <f t="shared" si="112"/>
        <v/>
      </c>
      <c r="H63" s="4" t="str">
        <f t="shared" si="113"/>
        <v>0.00</v>
      </c>
      <c r="I63" s="4" t="str">
        <f t="shared" si="114"/>
        <v>0</v>
      </c>
      <c r="J63" s="4" t="str">
        <f t="shared" si="130"/>
        <v>0.03</v>
      </c>
      <c r="K63" s="4" t="str">
        <f t="shared" si="131"/>
        <v>-0.03</v>
      </c>
      <c r="L63" s="4" t="str">
        <f t="shared" ref="L63:W63" si="134">"0.00"</f>
        <v>0.00</v>
      </c>
      <c r="M63" s="4" t="str">
        <f t="shared" si="116"/>
        <v>0.000</v>
      </c>
      <c r="N63" s="4" t="str">
        <f>"558.35"</f>
        <v>558.35</v>
      </c>
      <c r="O63" s="4" t="str">
        <f t="shared" si="117"/>
        <v>0</v>
      </c>
      <c r="P63" s="4" t="str">
        <f t="shared" si="134"/>
        <v>0.00</v>
      </c>
      <c r="Q63" s="4" t="str">
        <f t="shared" si="134"/>
        <v>0.00</v>
      </c>
      <c r="R63" s="4" t="str">
        <f t="shared" si="134"/>
        <v>0.00</v>
      </c>
      <c r="S63" s="4" t="str">
        <f t="shared" si="134"/>
        <v>0.00</v>
      </c>
      <c r="T63" s="4" t="str">
        <f t="shared" si="134"/>
        <v>0.00</v>
      </c>
      <c r="U63" s="4" t="str">
        <f t="shared" si="134"/>
        <v>0.00</v>
      </c>
      <c r="V63" s="4" t="str">
        <f t="shared" si="134"/>
        <v>0.00</v>
      </c>
      <c r="W63" s="4" t="str">
        <f t="shared" si="134"/>
        <v>0.00</v>
      </c>
      <c r="X63" s="4" t="str">
        <f t="shared" si="118"/>
        <v>0.00000</v>
      </c>
      <c r="Y63" s="4" t="str">
        <f t="shared" si="119"/>
        <v>0</v>
      </c>
      <c r="Z63" s="4" t="str">
        <f t="shared" si="120"/>
        <v>0</v>
      </c>
      <c r="AA63" s="4" t="str">
        <f t="shared" si="13"/>
        <v>人民币</v>
      </c>
      <c r="AB63" s="4" t="str">
        <f t="shared" si="14"/>
        <v>A368402599</v>
      </c>
    </row>
    <row r="64" spans="1:28">
      <c r="A64" s="4" t="str">
        <f>"20200921"</f>
        <v>20200921</v>
      </c>
      <c r="B64" s="4" t="str">
        <f>"20200921"</f>
        <v>20200921</v>
      </c>
      <c r="C64" s="4" t="str">
        <f t="shared" si="108"/>
        <v>0</v>
      </c>
      <c r="D64" s="4" t="str">
        <f t="shared" si="109"/>
        <v>00:00:00</v>
      </c>
      <c r="E64" s="4" t="str">
        <f t="shared" si="110"/>
        <v>港股通组合费</v>
      </c>
      <c r="F64" s="4" t="str">
        <f t="shared" si="111"/>
        <v/>
      </c>
      <c r="G64" s="4" t="str">
        <f t="shared" si="112"/>
        <v/>
      </c>
      <c r="H64" s="4" t="str">
        <f t="shared" si="113"/>
        <v>0.00</v>
      </c>
      <c r="I64" s="4" t="str">
        <f t="shared" si="114"/>
        <v>0</v>
      </c>
      <c r="J64" s="4" t="str">
        <f>"0.10"</f>
        <v>0.10</v>
      </c>
      <c r="K64" s="4" t="str">
        <f>"-0.10"</f>
        <v>-0.10</v>
      </c>
      <c r="L64" s="4" t="str">
        <f t="shared" ref="L64:W64" si="135">"0.00"</f>
        <v>0.00</v>
      </c>
      <c r="M64" s="4" t="str">
        <f t="shared" si="116"/>
        <v>0.000</v>
      </c>
      <c r="N64" s="4" t="str">
        <f>"558.25"</f>
        <v>558.25</v>
      </c>
      <c r="O64" s="4" t="str">
        <f t="shared" si="117"/>
        <v>0</v>
      </c>
      <c r="P64" s="4" t="str">
        <f t="shared" si="135"/>
        <v>0.00</v>
      </c>
      <c r="Q64" s="4" t="str">
        <f t="shared" si="135"/>
        <v>0.00</v>
      </c>
      <c r="R64" s="4" t="str">
        <f t="shared" si="135"/>
        <v>0.00</v>
      </c>
      <c r="S64" s="4" t="str">
        <f t="shared" si="135"/>
        <v>0.00</v>
      </c>
      <c r="T64" s="4" t="str">
        <f t="shared" si="135"/>
        <v>0.00</v>
      </c>
      <c r="U64" s="4" t="str">
        <f t="shared" si="135"/>
        <v>0.00</v>
      </c>
      <c r="V64" s="4" t="str">
        <f t="shared" si="135"/>
        <v>0.00</v>
      </c>
      <c r="W64" s="4" t="str">
        <f t="shared" si="135"/>
        <v>0.00</v>
      </c>
      <c r="X64" s="4" t="str">
        <f t="shared" si="118"/>
        <v>0.00000</v>
      </c>
      <c r="Y64" s="4" t="str">
        <f t="shared" si="119"/>
        <v>0</v>
      </c>
      <c r="Z64" s="4" t="str">
        <f t="shared" si="120"/>
        <v>0</v>
      </c>
      <c r="AA64" s="4" t="str">
        <f t="shared" si="13"/>
        <v>人民币</v>
      </c>
      <c r="AB64" s="4" t="str">
        <f t="shared" si="14"/>
        <v>A368402599</v>
      </c>
    </row>
    <row r="65" spans="1:28">
      <c r="A65" s="4" t="str">
        <f>"20200922"</f>
        <v>20200922</v>
      </c>
      <c r="B65" s="4" t="str">
        <f>"20200922"</f>
        <v>20200922</v>
      </c>
      <c r="C65" s="4" t="str">
        <f t="shared" si="108"/>
        <v>0</v>
      </c>
      <c r="D65" s="4" t="str">
        <f t="shared" si="109"/>
        <v>00:00:00</v>
      </c>
      <c r="E65" s="4" t="str">
        <f t="shared" si="110"/>
        <v>港股通组合费</v>
      </c>
      <c r="F65" s="4" t="str">
        <f t="shared" si="111"/>
        <v/>
      </c>
      <c r="G65" s="4" t="str">
        <f t="shared" si="112"/>
        <v/>
      </c>
      <c r="H65" s="4" t="str">
        <f t="shared" si="113"/>
        <v>0.00</v>
      </c>
      <c r="I65" s="4" t="str">
        <f t="shared" si="114"/>
        <v>0</v>
      </c>
      <c r="J65" s="4" t="str">
        <f>"0.03"</f>
        <v>0.03</v>
      </c>
      <c r="K65" s="4" t="str">
        <f>"-0.03"</f>
        <v>-0.03</v>
      </c>
      <c r="L65" s="4" t="str">
        <f t="shared" ref="L65:W65" si="136">"0.00"</f>
        <v>0.00</v>
      </c>
      <c r="M65" s="4" t="str">
        <f t="shared" si="116"/>
        <v>0.000</v>
      </c>
      <c r="N65" s="4" t="str">
        <f>"587.68"</f>
        <v>587.68</v>
      </c>
      <c r="O65" s="4" t="str">
        <f t="shared" si="117"/>
        <v>0</v>
      </c>
      <c r="P65" s="4" t="str">
        <f t="shared" si="136"/>
        <v>0.00</v>
      </c>
      <c r="Q65" s="4" t="str">
        <f t="shared" si="136"/>
        <v>0.00</v>
      </c>
      <c r="R65" s="4" t="str">
        <f t="shared" si="136"/>
        <v>0.00</v>
      </c>
      <c r="S65" s="4" t="str">
        <f t="shared" si="136"/>
        <v>0.00</v>
      </c>
      <c r="T65" s="4" t="str">
        <f t="shared" si="136"/>
        <v>0.00</v>
      </c>
      <c r="U65" s="4" t="str">
        <f t="shared" si="136"/>
        <v>0.00</v>
      </c>
      <c r="V65" s="4" t="str">
        <f t="shared" si="136"/>
        <v>0.00</v>
      </c>
      <c r="W65" s="4" t="str">
        <f t="shared" si="136"/>
        <v>0.00</v>
      </c>
      <c r="X65" s="4" t="str">
        <f t="shared" si="118"/>
        <v>0.00000</v>
      </c>
      <c r="Y65" s="4" t="str">
        <f t="shared" si="119"/>
        <v>0</v>
      </c>
      <c r="Z65" s="4" t="str">
        <f t="shared" si="120"/>
        <v>0</v>
      </c>
      <c r="AA65" s="4" t="str">
        <f t="shared" si="13"/>
        <v>人民币</v>
      </c>
      <c r="AB65" s="4" t="str">
        <f t="shared" si="14"/>
        <v>A368402599</v>
      </c>
    </row>
    <row r="66" spans="1:28">
      <c r="A66" s="4" t="str">
        <f>"20200923"</f>
        <v>20200923</v>
      </c>
      <c r="B66" s="4" t="str">
        <f>"20200923"</f>
        <v>20200923</v>
      </c>
      <c r="C66" s="4" t="str">
        <f t="shared" si="108"/>
        <v>0</v>
      </c>
      <c r="D66" s="4" t="str">
        <f t="shared" si="109"/>
        <v>00:00:00</v>
      </c>
      <c r="E66" s="4" t="str">
        <f t="shared" si="110"/>
        <v>港股通组合费</v>
      </c>
      <c r="F66" s="4" t="str">
        <f t="shared" si="111"/>
        <v/>
      </c>
      <c r="G66" s="4" t="str">
        <f t="shared" si="112"/>
        <v/>
      </c>
      <c r="H66" s="4" t="str">
        <f t="shared" si="113"/>
        <v>0.00</v>
      </c>
      <c r="I66" s="4" t="str">
        <f t="shared" si="114"/>
        <v>0</v>
      </c>
      <c r="J66" s="4" t="str">
        <f t="shared" ref="J66:J72" si="137">"0.04"</f>
        <v>0.04</v>
      </c>
      <c r="K66" s="4" t="str">
        <f t="shared" ref="K66:K72" si="138">"-0.04"</f>
        <v>-0.04</v>
      </c>
      <c r="L66" s="4" t="str">
        <f t="shared" ref="L66:W66" si="139">"0.00"</f>
        <v>0.00</v>
      </c>
      <c r="M66" s="4" t="str">
        <f t="shared" si="116"/>
        <v>0.000</v>
      </c>
      <c r="N66" s="4" t="str">
        <f>"28742.60"</f>
        <v>28742.60</v>
      </c>
      <c r="O66" s="4" t="str">
        <f t="shared" si="117"/>
        <v>0</v>
      </c>
      <c r="P66" s="4" t="str">
        <f t="shared" si="139"/>
        <v>0.00</v>
      </c>
      <c r="Q66" s="4" t="str">
        <f t="shared" si="139"/>
        <v>0.00</v>
      </c>
      <c r="R66" s="4" t="str">
        <f t="shared" si="139"/>
        <v>0.00</v>
      </c>
      <c r="S66" s="4" t="str">
        <f t="shared" si="139"/>
        <v>0.00</v>
      </c>
      <c r="T66" s="4" t="str">
        <f t="shared" si="139"/>
        <v>0.00</v>
      </c>
      <c r="U66" s="4" t="str">
        <f t="shared" si="139"/>
        <v>0.00</v>
      </c>
      <c r="V66" s="4" t="str">
        <f t="shared" si="139"/>
        <v>0.00</v>
      </c>
      <c r="W66" s="4" t="str">
        <f t="shared" si="139"/>
        <v>0.00</v>
      </c>
      <c r="X66" s="4" t="str">
        <f t="shared" si="118"/>
        <v>0.00000</v>
      </c>
      <c r="Y66" s="4" t="str">
        <f t="shared" si="119"/>
        <v>0</v>
      </c>
      <c r="Z66" s="4" t="str">
        <f t="shared" si="120"/>
        <v>0</v>
      </c>
      <c r="AA66" s="4" t="str">
        <f t="shared" si="13"/>
        <v>人民币</v>
      </c>
      <c r="AB66" s="4" t="str">
        <f t="shared" si="14"/>
        <v>A368402599</v>
      </c>
    </row>
    <row r="67" spans="1:28">
      <c r="A67" s="4" t="str">
        <f>"20200924"</f>
        <v>20200924</v>
      </c>
      <c r="B67" s="4" t="str">
        <f>"20200924"</f>
        <v>20200924</v>
      </c>
      <c r="C67" s="4" t="str">
        <f t="shared" si="108"/>
        <v>0</v>
      </c>
      <c r="D67" s="4" t="str">
        <f t="shared" si="109"/>
        <v>00:00:00</v>
      </c>
      <c r="E67" s="4" t="str">
        <f t="shared" si="110"/>
        <v>港股通组合费</v>
      </c>
      <c r="F67" s="4" t="str">
        <f t="shared" si="111"/>
        <v/>
      </c>
      <c r="G67" s="4" t="str">
        <f t="shared" si="112"/>
        <v/>
      </c>
      <c r="H67" s="4" t="str">
        <f t="shared" si="113"/>
        <v>0.00</v>
      </c>
      <c r="I67" s="4" t="str">
        <f t="shared" si="114"/>
        <v>0</v>
      </c>
      <c r="J67" s="4" t="str">
        <f t="shared" si="137"/>
        <v>0.04</v>
      </c>
      <c r="K67" s="4" t="str">
        <f t="shared" si="138"/>
        <v>-0.04</v>
      </c>
      <c r="L67" s="4" t="str">
        <f t="shared" ref="L67:W67" si="140">"0.00"</f>
        <v>0.00</v>
      </c>
      <c r="M67" s="4" t="str">
        <f t="shared" si="116"/>
        <v>0.000</v>
      </c>
      <c r="N67" s="4" t="str">
        <f>"28742.56"</f>
        <v>28742.56</v>
      </c>
      <c r="O67" s="4" t="str">
        <f t="shared" si="117"/>
        <v>0</v>
      </c>
      <c r="P67" s="4" t="str">
        <f t="shared" si="140"/>
        <v>0.00</v>
      </c>
      <c r="Q67" s="4" t="str">
        <f t="shared" si="140"/>
        <v>0.00</v>
      </c>
      <c r="R67" s="4" t="str">
        <f t="shared" si="140"/>
        <v>0.00</v>
      </c>
      <c r="S67" s="4" t="str">
        <f t="shared" si="140"/>
        <v>0.00</v>
      </c>
      <c r="T67" s="4" t="str">
        <f t="shared" si="140"/>
        <v>0.00</v>
      </c>
      <c r="U67" s="4" t="str">
        <f t="shared" si="140"/>
        <v>0.00</v>
      </c>
      <c r="V67" s="4" t="str">
        <f t="shared" si="140"/>
        <v>0.00</v>
      </c>
      <c r="W67" s="4" t="str">
        <f t="shared" si="140"/>
        <v>0.00</v>
      </c>
      <c r="X67" s="4" t="str">
        <f t="shared" si="118"/>
        <v>0.00000</v>
      </c>
      <c r="Y67" s="4" t="str">
        <f t="shared" si="119"/>
        <v>0</v>
      </c>
      <c r="Z67" s="4" t="str">
        <f t="shared" si="120"/>
        <v>0</v>
      </c>
      <c r="AA67" s="4" t="str">
        <f t="shared" ref="AA67:AA72" si="141">"人民币"</f>
        <v>人民币</v>
      </c>
      <c r="AB67" s="4" t="str">
        <f t="shared" ref="AB67:AB72" si="142">"A368402599"</f>
        <v>A368402599</v>
      </c>
    </row>
    <row r="68" spans="1:28">
      <c r="A68" s="4" t="str">
        <f>"20200925"</f>
        <v>20200925</v>
      </c>
      <c r="B68" s="4" t="str">
        <f>"20200923"</f>
        <v>20200923</v>
      </c>
      <c r="C68" s="4" t="str">
        <f>"20200923"</f>
        <v>20200923</v>
      </c>
      <c r="D68" s="4" t="str">
        <f>"10:57:31"</f>
        <v>10:57:31</v>
      </c>
      <c r="E68" s="4" t="str">
        <f>"港股通股票买入"</f>
        <v>港股通股票买入</v>
      </c>
      <c r="F68" s="4" t="str">
        <f>"00386"</f>
        <v>00386</v>
      </c>
      <c r="G68" s="4" t="str">
        <f>"中国石油"</f>
        <v>中国石油</v>
      </c>
      <c r="H68" s="4" t="str">
        <f>"2.79"</f>
        <v>2.79</v>
      </c>
      <c r="I68" s="4" t="str">
        <f>"10000"</f>
        <v>10000</v>
      </c>
      <c r="J68" s="4" t="str">
        <f>"27855.53"</f>
        <v>27855.53</v>
      </c>
      <c r="K68" s="4" t="str">
        <f>"-27901.82"</f>
        <v>-27901.82</v>
      </c>
      <c r="L68" s="4" t="str">
        <f>"10000.00"</f>
        <v>10000.00</v>
      </c>
      <c r="M68" s="4" t="str">
        <f>"3.180"</f>
        <v>3.180</v>
      </c>
      <c r="N68" s="4" t="str">
        <f>"840.74"</f>
        <v>840.74</v>
      </c>
      <c r="O68" s="4" t="str">
        <f>"54000"</f>
        <v>54000</v>
      </c>
      <c r="P68" s="4" t="str">
        <f>"28.03"</f>
        <v>28.03</v>
      </c>
      <c r="Q68" s="4" t="str">
        <f>"13.93"</f>
        <v>13.93</v>
      </c>
      <c r="R68" s="4" t="str">
        <f>"1.75"</f>
        <v>1.75</v>
      </c>
      <c r="S68" s="4" t="str">
        <f>"1.39"</f>
        <v>1.39</v>
      </c>
      <c r="T68" s="4" t="str">
        <f>"0.00"</f>
        <v>0.00</v>
      </c>
      <c r="U68" s="4" t="str">
        <f>"0.43"</f>
        <v>0.43</v>
      </c>
      <c r="V68" s="4" t="str">
        <f>"0.75"</f>
        <v>0.75</v>
      </c>
      <c r="W68" s="4" t="str">
        <f>"0.01"</f>
        <v>0.01</v>
      </c>
      <c r="X68" s="4" t="str">
        <f>"0.87596"</f>
        <v>0.87596</v>
      </c>
      <c r="Y68" s="4" t="str">
        <f>"386000002424"</f>
        <v>386000002424</v>
      </c>
      <c r="Z68" s="4" t="str">
        <f>"130000"</f>
        <v>130000</v>
      </c>
      <c r="AA68" s="4" t="str">
        <f t="shared" si="141"/>
        <v>人民币</v>
      </c>
      <c r="AB68" s="4" t="str">
        <f t="shared" si="142"/>
        <v>A368402599</v>
      </c>
    </row>
    <row r="69" spans="1:28">
      <c r="A69" s="4" t="str">
        <f>"20200925"</f>
        <v>20200925</v>
      </c>
      <c r="B69" s="4" t="str">
        <f>"20200925"</f>
        <v>20200925</v>
      </c>
      <c r="C69" s="4" t="str">
        <f t="shared" ref="C69:C72" si="143">"0"</f>
        <v>0</v>
      </c>
      <c r="D69" s="4" t="str">
        <f t="shared" ref="D69:D72" si="144">"00:00:00"</f>
        <v>00:00:00</v>
      </c>
      <c r="E69" s="4" t="str">
        <f t="shared" ref="E69:E72" si="145">"港股通组合费"</f>
        <v>港股通组合费</v>
      </c>
      <c r="F69" s="4" t="str">
        <f t="shared" ref="F69:F72" si="146">""</f>
        <v/>
      </c>
      <c r="G69" s="4" t="str">
        <f t="shared" ref="G69:G72" si="147">""</f>
        <v/>
      </c>
      <c r="H69" s="4" t="str">
        <f t="shared" ref="H69:H72" si="148">"0.00"</f>
        <v>0.00</v>
      </c>
      <c r="I69" s="4" t="str">
        <f t="shared" ref="I69:I72" si="149">"0"</f>
        <v>0</v>
      </c>
      <c r="J69" s="4" t="str">
        <f>"0.03"</f>
        <v>0.03</v>
      </c>
      <c r="K69" s="4" t="str">
        <f>"-0.03"</f>
        <v>-0.03</v>
      </c>
      <c r="L69" s="4" t="str">
        <f t="shared" ref="L69:W69" si="150">"0.00"</f>
        <v>0.00</v>
      </c>
      <c r="M69" s="4" t="str">
        <f t="shared" ref="M69:M72" si="151">"0.000"</f>
        <v>0.000</v>
      </c>
      <c r="N69" s="4" t="str">
        <f>"840.71"</f>
        <v>840.71</v>
      </c>
      <c r="O69" s="4" t="str">
        <f t="shared" ref="O69:O72" si="152">"0"</f>
        <v>0</v>
      </c>
      <c r="P69" s="4" t="str">
        <f t="shared" si="150"/>
        <v>0.00</v>
      </c>
      <c r="Q69" s="4" t="str">
        <f t="shared" si="150"/>
        <v>0.00</v>
      </c>
      <c r="R69" s="4" t="str">
        <f t="shared" si="150"/>
        <v>0.00</v>
      </c>
      <c r="S69" s="4" t="str">
        <f t="shared" si="150"/>
        <v>0.00</v>
      </c>
      <c r="T69" s="4" t="str">
        <f t="shared" si="150"/>
        <v>0.00</v>
      </c>
      <c r="U69" s="4" t="str">
        <f t="shared" si="150"/>
        <v>0.00</v>
      </c>
      <c r="V69" s="4" t="str">
        <f t="shared" si="150"/>
        <v>0.00</v>
      </c>
      <c r="W69" s="4" t="str">
        <f t="shared" si="150"/>
        <v>0.00</v>
      </c>
      <c r="X69" s="4" t="str">
        <f t="shared" ref="X69:X72" si="153">"0.00000"</f>
        <v>0.00000</v>
      </c>
      <c r="Y69" s="4" t="str">
        <f t="shared" ref="Y69:Y72" si="154">"0"</f>
        <v>0</v>
      </c>
      <c r="Z69" s="4" t="str">
        <f t="shared" ref="Z69:Z72" si="155">"0"</f>
        <v>0</v>
      </c>
      <c r="AA69" s="4" t="str">
        <f t="shared" si="141"/>
        <v>人民币</v>
      </c>
      <c r="AB69" s="4" t="str">
        <f t="shared" si="142"/>
        <v>A368402599</v>
      </c>
    </row>
    <row r="70" spans="1:28">
      <c r="A70" s="4" t="str">
        <f>"20200928"</f>
        <v>20200928</v>
      </c>
      <c r="B70" s="4" t="str">
        <f>"20200928"</f>
        <v>20200928</v>
      </c>
      <c r="C70" s="4" t="str">
        <f t="shared" si="143"/>
        <v>0</v>
      </c>
      <c r="D70" s="4" t="str">
        <f t="shared" si="144"/>
        <v>00:00:00</v>
      </c>
      <c r="E70" s="4" t="str">
        <f t="shared" si="145"/>
        <v>港股通组合费</v>
      </c>
      <c r="F70" s="4" t="str">
        <f t="shared" si="146"/>
        <v/>
      </c>
      <c r="G70" s="4" t="str">
        <f t="shared" si="147"/>
        <v/>
      </c>
      <c r="H70" s="4" t="str">
        <f t="shared" si="148"/>
        <v>0.00</v>
      </c>
      <c r="I70" s="4" t="str">
        <f t="shared" si="149"/>
        <v>0</v>
      </c>
      <c r="J70" s="4" t="str">
        <f>"0.11"</f>
        <v>0.11</v>
      </c>
      <c r="K70" s="4" t="str">
        <f>"-0.11"</f>
        <v>-0.11</v>
      </c>
      <c r="L70" s="4" t="str">
        <f t="shared" ref="L70:W70" si="156">"0.00"</f>
        <v>0.00</v>
      </c>
      <c r="M70" s="4" t="str">
        <f t="shared" si="151"/>
        <v>0.000</v>
      </c>
      <c r="N70" s="4" t="str">
        <f>"840.60"</f>
        <v>840.60</v>
      </c>
      <c r="O70" s="4" t="str">
        <f t="shared" si="152"/>
        <v>0</v>
      </c>
      <c r="P70" s="4" t="str">
        <f t="shared" si="156"/>
        <v>0.00</v>
      </c>
      <c r="Q70" s="4" t="str">
        <f t="shared" si="156"/>
        <v>0.00</v>
      </c>
      <c r="R70" s="4" t="str">
        <f t="shared" si="156"/>
        <v>0.00</v>
      </c>
      <c r="S70" s="4" t="str">
        <f t="shared" si="156"/>
        <v>0.00</v>
      </c>
      <c r="T70" s="4" t="str">
        <f t="shared" si="156"/>
        <v>0.00</v>
      </c>
      <c r="U70" s="4" t="str">
        <f t="shared" si="156"/>
        <v>0.00</v>
      </c>
      <c r="V70" s="4" t="str">
        <f t="shared" si="156"/>
        <v>0.00</v>
      </c>
      <c r="W70" s="4" t="str">
        <f t="shared" si="156"/>
        <v>0.00</v>
      </c>
      <c r="X70" s="4" t="str">
        <f t="shared" si="153"/>
        <v>0.00000</v>
      </c>
      <c r="Y70" s="4" t="str">
        <f t="shared" si="154"/>
        <v>0</v>
      </c>
      <c r="Z70" s="4" t="str">
        <f t="shared" si="155"/>
        <v>0</v>
      </c>
      <c r="AA70" s="4" t="str">
        <f t="shared" si="141"/>
        <v>人民币</v>
      </c>
      <c r="AB70" s="4" t="str">
        <f t="shared" si="142"/>
        <v>A368402599</v>
      </c>
    </row>
    <row r="71" spans="1:28">
      <c r="A71" s="4" t="str">
        <f>"20200929"</f>
        <v>20200929</v>
      </c>
      <c r="B71" s="4" t="str">
        <f>"20200929"</f>
        <v>20200929</v>
      </c>
      <c r="C71" s="4" t="str">
        <f t="shared" si="143"/>
        <v>0</v>
      </c>
      <c r="D71" s="4" t="str">
        <f t="shared" si="144"/>
        <v>00:00:00</v>
      </c>
      <c r="E71" s="4" t="str">
        <f t="shared" si="145"/>
        <v>港股通组合费</v>
      </c>
      <c r="F71" s="4" t="str">
        <f t="shared" si="146"/>
        <v/>
      </c>
      <c r="G71" s="4" t="str">
        <f t="shared" si="147"/>
        <v/>
      </c>
      <c r="H71" s="4" t="str">
        <f t="shared" si="148"/>
        <v>0.00</v>
      </c>
      <c r="I71" s="4" t="str">
        <f t="shared" si="149"/>
        <v>0</v>
      </c>
      <c r="J71" s="4" t="str">
        <f t="shared" si="137"/>
        <v>0.04</v>
      </c>
      <c r="K71" s="4" t="str">
        <f t="shared" si="138"/>
        <v>-0.04</v>
      </c>
      <c r="L71" s="4" t="str">
        <f t="shared" ref="L71:W71" si="157">"0.00"</f>
        <v>0.00</v>
      </c>
      <c r="M71" s="4" t="str">
        <f t="shared" si="151"/>
        <v>0.000</v>
      </c>
      <c r="N71" s="4" t="str">
        <f>"840.56"</f>
        <v>840.56</v>
      </c>
      <c r="O71" s="4" t="str">
        <f t="shared" si="152"/>
        <v>0</v>
      </c>
      <c r="P71" s="4" t="str">
        <f t="shared" si="157"/>
        <v>0.00</v>
      </c>
      <c r="Q71" s="4" t="str">
        <f t="shared" si="157"/>
        <v>0.00</v>
      </c>
      <c r="R71" s="4" t="str">
        <f t="shared" si="157"/>
        <v>0.00</v>
      </c>
      <c r="S71" s="4" t="str">
        <f t="shared" si="157"/>
        <v>0.00</v>
      </c>
      <c r="T71" s="4" t="str">
        <f t="shared" si="157"/>
        <v>0.00</v>
      </c>
      <c r="U71" s="4" t="str">
        <f t="shared" si="157"/>
        <v>0.00</v>
      </c>
      <c r="V71" s="4" t="str">
        <f t="shared" si="157"/>
        <v>0.00</v>
      </c>
      <c r="W71" s="4" t="str">
        <f t="shared" si="157"/>
        <v>0.00</v>
      </c>
      <c r="X71" s="4" t="str">
        <f t="shared" si="153"/>
        <v>0.00000</v>
      </c>
      <c r="Y71" s="4" t="str">
        <f t="shared" si="154"/>
        <v>0</v>
      </c>
      <c r="Z71" s="4" t="str">
        <f t="shared" si="155"/>
        <v>0</v>
      </c>
      <c r="AA71" s="4" t="str">
        <f t="shared" si="141"/>
        <v>人民币</v>
      </c>
      <c r="AB71" s="4" t="str">
        <f t="shared" si="142"/>
        <v>A368402599</v>
      </c>
    </row>
    <row r="72" spans="1:28">
      <c r="A72" s="4" t="str">
        <f>"20200930"</f>
        <v>20200930</v>
      </c>
      <c r="B72" s="4" t="str">
        <f>"20200930"</f>
        <v>20200930</v>
      </c>
      <c r="C72" s="4" t="str">
        <f t="shared" si="143"/>
        <v>0</v>
      </c>
      <c r="D72" s="4" t="str">
        <f t="shared" si="144"/>
        <v>00:00:00</v>
      </c>
      <c r="E72" s="4" t="str">
        <f t="shared" si="145"/>
        <v>港股通组合费</v>
      </c>
      <c r="F72" s="4" t="str">
        <f t="shared" si="146"/>
        <v/>
      </c>
      <c r="G72" s="4" t="str">
        <f t="shared" si="147"/>
        <v/>
      </c>
      <c r="H72" s="4" t="str">
        <f t="shared" si="148"/>
        <v>0.00</v>
      </c>
      <c r="I72" s="4" t="str">
        <f t="shared" si="149"/>
        <v>0</v>
      </c>
      <c r="J72" s="4" t="str">
        <f t="shared" si="137"/>
        <v>0.04</v>
      </c>
      <c r="K72" s="4" t="str">
        <f t="shared" si="138"/>
        <v>-0.04</v>
      </c>
      <c r="L72" s="4" t="str">
        <f t="shared" ref="L72:W72" si="158">"0.00"</f>
        <v>0.00</v>
      </c>
      <c r="M72" s="4" t="str">
        <f t="shared" si="151"/>
        <v>0.000</v>
      </c>
      <c r="N72" s="4" t="str">
        <f>"840.52"</f>
        <v>840.52</v>
      </c>
      <c r="O72" s="4" t="str">
        <f t="shared" si="152"/>
        <v>0</v>
      </c>
      <c r="P72" s="4" t="str">
        <f t="shared" si="158"/>
        <v>0.00</v>
      </c>
      <c r="Q72" s="4" t="str">
        <f t="shared" si="158"/>
        <v>0.00</v>
      </c>
      <c r="R72" s="4" t="str">
        <f t="shared" si="158"/>
        <v>0.00</v>
      </c>
      <c r="S72" s="4" t="str">
        <f t="shared" si="158"/>
        <v>0.00</v>
      </c>
      <c r="T72" s="4" t="str">
        <f t="shared" si="158"/>
        <v>0.00</v>
      </c>
      <c r="U72" s="4" t="str">
        <f t="shared" si="158"/>
        <v>0.00</v>
      </c>
      <c r="V72" s="4" t="str">
        <f t="shared" si="158"/>
        <v>0.00</v>
      </c>
      <c r="W72" s="4" t="str">
        <f t="shared" si="158"/>
        <v>0.00</v>
      </c>
      <c r="X72" s="4" t="str">
        <f t="shared" si="153"/>
        <v>0.00000</v>
      </c>
      <c r="Y72" s="4" t="str">
        <f t="shared" si="154"/>
        <v>0</v>
      </c>
      <c r="Z72" s="4" t="str">
        <f t="shared" si="155"/>
        <v>0</v>
      </c>
      <c r="AA72" s="4" t="str">
        <f t="shared" si="141"/>
        <v>人民币</v>
      </c>
      <c r="AB72" s="4" t="str">
        <f t="shared" si="142"/>
        <v>A368402599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5"/>
  <sheetViews>
    <sheetView workbookViewId="0">
      <selection activeCell="A2" sqref="A2:K55"/>
    </sheetView>
  </sheetViews>
  <sheetFormatPr defaultColWidth="9" defaultRowHeight="13.5"/>
  <cols>
    <col min="1" max="1" width="9" style="4"/>
    <col min="2" max="2" width="12.25" style="4" customWidth="1"/>
    <col min="3" max="3" width="16.375" style="4" customWidth="1"/>
    <col min="4" max="8" width="9" style="4"/>
    <col min="9" max="11" width="9.375" style="4"/>
    <col min="12" max="16384" width="9" style="4"/>
  </cols>
  <sheetData>
    <row r="1" spans="1:15">
      <c r="A1" s="4" t="str">
        <f>"购买日期"</f>
        <v>购买日期</v>
      </c>
      <c r="B1" s="4" t="str">
        <f>"委托日期"</f>
        <v>委托日期</v>
      </c>
      <c r="C1" s="4" t="str">
        <f>"业务类型"</f>
        <v>业务类型</v>
      </c>
      <c r="D1" s="4" t="str">
        <f>"证券代码"</f>
        <v>证券代码</v>
      </c>
      <c r="E1" s="4" t="str">
        <f>"证券名称"</f>
        <v>证券名称</v>
      </c>
      <c r="F1" s="4" t="str">
        <f>"成交价格"</f>
        <v>成交价格</v>
      </c>
      <c r="G1" s="4" t="str">
        <f>"成交数量"</f>
        <v>成交数量</v>
      </c>
      <c r="H1" s="4" t="str">
        <f>"成交金额"</f>
        <v>成交金额</v>
      </c>
      <c r="I1" s="4" t="str">
        <f>"发生金额"</f>
        <v>发生金额</v>
      </c>
      <c r="J1" s="4" t="str">
        <f>"资金余额"</f>
        <v>资金余额</v>
      </c>
      <c r="K1" s="4" t="str">
        <f>"当前持仓"</f>
        <v>当前持仓</v>
      </c>
      <c r="L1" s="4" t="str">
        <f>"币种"</f>
        <v>币种</v>
      </c>
      <c r="M1" s="4" t="str">
        <f>"协议编号"</f>
        <v>协议编号</v>
      </c>
      <c r="N1" s="4" t="str">
        <f>"股东代码"</f>
        <v>股东代码</v>
      </c>
      <c r="O1" s="4" t="str">
        <f>"产品账号"</f>
        <v>产品账号</v>
      </c>
    </row>
    <row r="2" spans="1:15">
      <c r="A2" s="4" t="str">
        <f>"20201014"</f>
        <v>20201014</v>
      </c>
      <c r="B2" s="4" t="str">
        <f>"20201014"</f>
        <v>20201014</v>
      </c>
      <c r="C2" s="4" t="str">
        <f>"银行转证券"</f>
        <v>银行转证券</v>
      </c>
      <c r="F2" s="4">
        <v>0</v>
      </c>
      <c r="G2" s="4">
        <v>0</v>
      </c>
      <c r="H2" s="4">
        <v>0</v>
      </c>
      <c r="I2" s="4">
        <v>28000</v>
      </c>
      <c r="J2" s="4">
        <v>28840.08</v>
      </c>
      <c r="K2" s="4">
        <v>0</v>
      </c>
      <c r="L2" s="4" t="str">
        <f t="shared" ref="L2:L55" si="0">"人民币"</f>
        <v>人民币</v>
      </c>
      <c r="O2" s="4" t="str">
        <f t="shared" ref="O2:O55" si="1">"300100052893"</f>
        <v>300100052893</v>
      </c>
    </row>
    <row r="3" spans="1:15">
      <c r="A3" s="4" t="str">
        <f>"20201014"</f>
        <v>20201014</v>
      </c>
      <c r="B3" s="4" t="str">
        <f>"20201014"</f>
        <v>20201014</v>
      </c>
      <c r="C3" s="4" t="str">
        <f>"基金申购拨出"</f>
        <v>基金申购拨出</v>
      </c>
      <c r="D3" s="4" t="str">
        <f t="shared" ref="D3:D7" si="2">"AA0007"</f>
        <v>AA0007</v>
      </c>
      <c r="E3" s="4" t="str">
        <f t="shared" ref="E3:E7" si="3">"银河水星1号集合"</f>
        <v>银河水星1号集合</v>
      </c>
      <c r="F3" s="4">
        <v>0</v>
      </c>
      <c r="G3" s="4">
        <v>0</v>
      </c>
      <c r="H3" s="4">
        <v>0</v>
      </c>
      <c r="I3" s="4">
        <v>-1593.58</v>
      </c>
      <c r="J3" s="4">
        <v>27246.5</v>
      </c>
      <c r="K3" s="4">
        <v>0</v>
      </c>
      <c r="L3" s="4" t="str">
        <f t="shared" si="0"/>
        <v>人民币</v>
      </c>
      <c r="N3" s="4" t="str">
        <f t="shared" ref="N3:N7" si="4">"980149593788"</f>
        <v>980149593788</v>
      </c>
      <c r="O3" s="4" t="str">
        <f t="shared" si="1"/>
        <v>300100052893</v>
      </c>
    </row>
    <row r="4" spans="1:15">
      <c r="A4" s="4" t="str">
        <f t="shared" ref="A4:A6" si="5">"20201019"</f>
        <v>20201019</v>
      </c>
      <c r="B4" s="4" t="str">
        <f>"20201019"</f>
        <v>20201019</v>
      </c>
      <c r="C4" s="4" t="str">
        <f>"银行转证券"</f>
        <v>银行转证券</v>
      </c>
      <c r="F4" s="4">
        <v>0</v>
      </c>
      <c r="G4" s="4">
        <v>0</v>
      </c>
      <c r="H4" s="4">
        <v>0</v>
      </c>
      <c r="I4" s="4">
        <v>3002.17</v>
      </c>
      <c r="J4" s="4">
        <v>3795.77</v>
      </c>
      <c r="K4" s="4">
        <v>0</v>
      </c>
      <c r="L4" s="4" t="str">
        <f t="shared" si="0"/>
        <v>人民币</v>
      </c>
      <c r="O4" s="4" t="str">
        <f t="shared" si="1"/>
        <v>300100052893</v>
      </c>
    </row>
    <row r="5" spans="1:15">
      <c r="A5" s="4" t="str">
        <f t="shared" si="5"/>
        <v>20201019</v>
      </c>
      <c r="B5" s="4" t="str">
        <f>"20201019"</f>
        <v>20201019</v>
      </c>
      <c r="C5" s="4" t="str">
        <f t="shared" ref="C5:C9" si="6">"基金赎回拨入"</f>
        <v>基金赎回拨入</v>
      </c>
      <c r="D5" s="4" t="str">
        <f t="shared" si="2"/>
        <v>AA0007</v>
      </c>
      <c r="E5" s="4" t="str">
        <f t="shared" si="3"/>
        <v>银河水星1号集合</v>
      </c>
      <c r="F5" s="4">
        <v>0</v>
      </c>
      <c r="G5" s="4">
        <v>704</v>
      </c>
      <c r="H5" s="4">
        <v>0</v>
      </c>
      <c r="I5" s="4">
        <v>704.23</v>
      </c>
      <c r="J5" s="4">
        <v>4500</v>
      </c>
      <c r="K5" s="4">
        <v>0</v>
      </c>
      <c r="L5" s="4" t="str">
        <f t="shared" si="0"/>
        <v>人民币</v>
      </c>
      <c r="N5" s="4" t="str">
        <f t="shared" si="4"/>
        <v>980149593788</v>
      </c>
      <c r="O5" s="4" t="str">
        <f t="shared" si="1"/>
        <v>300100052893</v>
      </c>
    </row>
    <row r="6" spans="1:15">
      <c r="A6" s="4" t="str">
        <f t="shared" si="5"/>
        <v>20201019</v>
      </c>
      <c r="B6" s="4" t="str">
        <f t="shared" ref="B6:B11" si="7">"20201015"</f>
        <v>20201015</v>
      </c>
      <c r="C6" s="4" t="str">
        <f>"配售缴款"</f>
        <v>配售缴款</v>
      </c>
      <c r="D6" s="4" t="str">
        <f t="shared" ref="D6:D11" si="8">"003016"</f>
        <v>003016</v>
      </c>
      <c r="E6" s="4" t="str">
        <f t="shared" ref="E6:E11" si="9">"欣贺股份"</f>
        <v>欣贺股份</v>
      </c>
      <c r="F6" s="4">
        <v>8.99</v>
      </c>
      <c r="G6" s="4">
        <v>500</v>
      </c>
      <c r="H6" s="4">
        <v>4495</v>
      </c>
      <c r="I6" s="4">
        <v>-4495</v>
      </c>
      <c r="J6" s="4">
        <v>5</v>
      </c>
      <c r="K6" s="4">
        <v>0</v>
      </c>
      <c r="L6" s="4" t="str">
        <f t="shared" si="0"/>
        <v>人民币</v>
      </c>
      <c r="M6" s="4" t="str">
        <f>"T4008929"</f>
        <v>T4008929</v>
      </c>
      <c r="N6" s="4" t="str">
        <f t="shared" ref="N6:N11" si="10">"0149593788"</f>
        <v>0149593788</v>
      </c>
      <c r="O6" s="4" t="str">
        <f t="shared" si="1"/>
        <v>300100052893</v>
      </c>
    </row>
    <row r="7" spans="1:15">
      <c r="A7" s="4" t="str">
        <f>"20201020"</f>
        <v>20201020</v>
      </c>
      <c r="B7" s="4" t="str">
        <f>"20201020"</f>
        <v>20201020</v>
      </c>
      <c r="C7" s="4" t="str">
        <f t="shared" si="6"/>
        <v>基金赎回拨入</v>
      </c>
      <c r="D7" s="4" t="str">
        <f t="shared" si="2"/>
        <v>AA0007</v>
      </c>
      <c r="E7" s="4" t="str">
        <f t="shared" si="3"/>
        <v>银河水星1号集合</v>
      </c>
      <c r="F7" s="4">
        <v>0</v>
      </c>
      <c r="G7" s="4">
        <v>0</v>
      </c>
      <c r="H7" s="4">
        <v>0</v>
      </c>
      <c r="I7" s="4">
        <v>0.13</v>
      </c>
      <c r="J7" s="4">
        <v>5</v>
      </c>
      <c r="K7" s="4">
        <v>0</v>
      </c>
      <c r="L7" s="4" t="str">
        <f t="shared" si="0"/>
        <v>人民币</v>
      </c>
      <c r="N7" s="4" t="str">
        <f t="shared" si="4"/>
        <v>980149593788</v>
      </c>
      <c r="O7" s="4" t="str">
        <f t="shared" si="1"/>
        <v>300100052893</v>
      </c>
    </row>
    <row r="8" spans="1:15">
      <c r="A8" s="4" t="str">
        <f>"20201020"</f>
        <v>20201020</v>
      </c>
      <c r="B8" s="4" t="str">
        <f t="shared" si="7"/>
        <v>20201015</v>
      </c>
      <c r="C8" s="4" t="str">
        <f>"配售股份"</f>
        <v>配售股份</v>
      </c>
      <c r="D8" s="4" t="str">
        <f t="shared" si="8"/>
        <v>003016</v>
      </c>
      <c r="E8" s="4" t="str">
        <f t="shared" si="9"/>
        <v>欣贺股份</v>
      </c>
      <c r="F8" s="4">
        <v>8.99</v>
      </c>
      <c r="G8" s="4">
        <v>500</v>
      </c>
      <c r="H8" s="4">
        <v>4495</v>
      </c>
      <c r="I8" s="4">
        <v>0</v>
      </c>
      <c r="J8" s="4">
        <v>5</v>
      </c>
      <c r="K8" s="4">
        <v>500</v>
      </c>
      <c r="L8" s="4" t="str">
        <f t="shared" si="0"/>
        <v>人民币</v>
      </c>
      <c r="M8" s="4" t="str">
        <f>"T4008929"</f>
        <v>T4008929</v>
      </c>
      <c r="N8" s="4" t="str">
        <f t="shared" si="10"/>
        <v>0149593788</v>
      </c>
      <c r="O8" s="4" t="str">
        <f t="shared" si="1"/>
        <v>300100052893</v>
      </c>
    </row>
    <row r="9" spans="1:15">
      <c r="A9" s="4" t="str">
        <f t="shared" ref="A9:A11" si="11">"20201021"</f>
        <v>20201021</v>
      </c>
      <c r="B9" s="4" t="str">
        <f>"20201021"</f>
        <v>20201021</v>
      </c>
      <c r="C9" s="4" t="str">
        <f t="shared" si="6"/>
        <v>基金赎回拨入</v>
      </c>
      <c r="D9" s="4" t="str">
        <f t="shared" ref="D9:D23" si="12">"AA0007"</f>
        <v>AA0007</v>
      </c>
      <c r="E9" s="4" t="str">
        <f t="shared" ref="E9:E23" si="13">"银河水星1号集合"</f>
        <v>银河水星1号集合</v>
      </c>
      <c r="F9" s="4">
        <v>0</v>
      </c>
      <c r="G9" s="4">
        <v>0</v>
      </c>
      <c r="H9" s="4">
        <v>0</v>
      </c>
      <c r="I9" s="4">
        <v>0.04</v>
      </c>
      <c r="J9" s="4">
        <v>5</v>
      </c>
      <c r="K9" s="4">
        <v>0</v>
      </c>
      <c r="L9" s="4" t="str">
        <f t="shared" si="0"/>
        <v>人民币</v>
      </c>
      <c r="N9" s="4" t="str">
        <f t="shared" ref="N9:N23" si="14">"980149593788"</f>
        <v>980149593788</v>
      </c>
      <c r="O9" s="4" t="str">
        <f t="shared" si="1"/>
        <v>300100052893</v>
      </c>
    </row>
    <row r="10" spans="1:15">
      <c r="A10" s="4" t="str">
        <f t="shared" si="11"/>
        <v>20201021</v>
      </c>
      <c r="B10" s="4" t="str">
        <f t="shared" si="7"/>
        <v>20201015</v>
      </c>
      <c r="C10" s="4" t="str">
        <f>"中签股份下账"</f>
        <v>中签股份下账</v>
      </c>
      <c r="D10" s="4" t="str">
        <f t="shared" si="8"/>
        <v>003016</v>
      </c>
      <c r="E10" s="4" t="str">
        <f t="shared" si="9"/>
        <v>欣贺股份</v>
      </c>
      <c r="F10" s="4">
        <v>8.99</v>
      </c>
      <c r="G10" s="4">
        <v>500</v>
      </c>
      <c r="H10" s="4">
        <v>4495</v>
      </c>
      <c r="I10" s="4">
        <v>0</v>
      </c>
      <c r="J10" s="4">
        <v>5</v>
      </c>
      <c r="K10" s="4">
        <v>0</v>
      </c>
      <c r="L10" s="4" t="str">
        <f t="shared" si="0"/>
        <v>人民币</v>
      </c>
      <c r="N10" s="4" t="str">
        <f t="shared" si="10"/>
        <v>0149593788</v>
      </c>
      <c r="O10" s="4" t="str">
        <f t="shared" si="1"/>
        <v>300100052893</v>
      </c>
    </row>
    <row r="11" spans="1:15">
      <c r="A11" s="4" t="str">
        <f t="shared" si="11"/>
        <v>20201021</v>
      </c>
      <c r="B11" s="4" t="str">
        <f t="shared" si="7"/>
        <v>20201015</v>
      </c>
      <c r="C11" s="4" t="str">
        <f>"新股入帐"</f>
        <v>新股入帐</v>
      </c>
      <c r="D11" s="4" t="str">
        <f t="shared" si="8"/>
        <v>003016</v>
      </c>
      <c r="E11" s="4" t="str">
        <f t="shared" si="9"/>
        <v>欣贺股份</v>
      </c>
      <c r="F11" s="4">
        <v>8.99</v>
      </c>
      <c r="G11" s="4">
        <v>500</v>
      </c>
      <c r="H11" s="4">
        <v>0</v>
      </c>
      <c r="I11" s="4">
        <v>0</v>
      </c>
      <c r="J11" s="4">
        <v>5</v>
      </c>
      <c r="K11" s="4">
        <v>500</v>
      </c>
      <c r="L11" s="4" t="str">
        <f t="shared" si="0"/>
        <v>人民币</v>
      </c>
      <c r="N11" s="4" t="str">
        <f t="shared" si="10"/>
        <v>0149593788</v>
      </c>
      <c r="O11" s="4" t="str">
        <f t="shared" si="1"/>
        <v>300100052893</v>
      </c>
    </row>
    <row r="12" spans="1:15">
      <c r="A12" s="4" t="str">
        <f>"20201022"</f>
        <v>20201022</v>
      </c>
      <c r="B12" s="4" t="str">
        <f>"20201022"</f>
        <v>20201022</v>
      </c>
      <c r="C12" s="4" t="str">
        <f t="shared" ref="C12:C23" si="15">"基金赎回拨入"</f>
        <v>基金赎回拨入</v>
      </c>
      <c r="D12" s="4" t="str">
        <f t="shared" si="12"/>
        <v>AA0007</v>
      </c>
      <c r="E12" s="4" t="str">
        <f t="shared" si="13"/>
        <v>银河水星1号集合</v>
      </c>
      <c r="F12" s="4">
        <v>0</v>
      </c>
      <c r="G12" s="4">
        <v>0</v>
      </c>
      <c r="H12" s="4">
        <v>0</v>
      </c>
      <c r="I12" s="4">
        <v>0.04</v>
      </c>
      <c r="J12" s="4">
        <v>5</v>
      </c>
      <c r="K12" s="4">
        <v>0</v>
      </c>
      <c r="L12" s="4" t="str">
        <f t="shared" si="0"/>
        <v>人民币</v>
      </c>
      <c r="N12" s="4" t="str">
        <f t="shared" si="14"/>
        <v>980149593788</v>
      </c>
      <c r="O12" s="4" t="str">
        <f t="shared" si="1"/>
        <v>300100052893</v>
      </c>
    </row>
    <row r="13" spans="1:15">
      <c r="A13" s="4" t="str">
        <f>"20201023"</f>
        <v>20201023</v>
      </c>
      <c r="B13" s="4" t="str">
        <f>"20201023"</f>
        <v>20201023</v>
      </c>
      <c r="C13" s="4" t="str">
        <f t="shared" si="15"/>
        <v>基金赎回拨入</v>
      </c>
      <c r="D13" s="4" t="str">
        <f t="shared" si="12"/>
        <v>AA0007</v>
      </c>
      <c r="E13" s="4" t="str">
        <f t="shared" si="13"/>
        <v>银河水星1号集合</v>
      </c>
      <c r="F13" s="4">
        <v>0</v>
      </c>
      <c r="G13" s="4">
        <v>0</v>
      </c>
      <c r="H13" s="4">
        <v>0</v>
      </c>
      <c r="I13" s="4">
        <v>0.04</v>
      </c>
      <c r="J13" s="4">
        <v>5</v>
      </c>
      <c r="K13" s="4">
        <v>0</v>
      </c>
      <c r="L13" s="4" t="str">
        <f t="shared" si="0"/>
        <v>人民币</v>
      </c>
      <c r="N13" s="4" t="str">
        <f t="shared" si="14"/>
        <v>980149593788</v>
      </c>
      <c r="O13" s="4" t="str">
        <f t="shared" si="1"/>
        <v>300100052893</v>
      </c>
    </row>
    <row r="14" spans="1:15">
      <c r="A14" s="4" t="str">
        <f>"20201026"</f>
        <v>20201026</v>
      </c>
      <c r="B14" s="4" t="str">
        <f>"20201026"</f>
        <v>20201026</v>
      </c>
      <c r="C14" s="4" t="str">
        <f t="shared" si="15"/>
        <v>基金赎回拨入</v>
      </c>
      <c r="D14" s="4" t="str">
        <f t="shared" si="12"/>
        <v>AA0007</v>
      </c>
      <c r="E14" s="4" t="str">
        <f t="shared" si="13"/>
        <v>银河水星1号集合</v>
      </c>
      <c r="F14" s="4">
        <v>0</v>
      </c>
      <c r="G14" s="4">
        <v>0</v>
      </c>
      <c r="H14" s="4">
        <v>0</v>
      </c>
      <c r="I14" s="4">
        <v>0.04</v>
      </c>
      <c r="J14" s="4">
        <v>5</v>
      </c>
      <c r="K14" s="4">
        <v>0</v>
      </c>
      <c r="L14" s="4" t="str">
        <f t="shared" si="0"/>
        <v>人民币</v>
      </c>
      <c r="N14" s="4" t="str">
        <f t="shared" si="14"/>
        <v>980149593788</v>
      </c>
      <c r="O14" s="4" t="str">
        <f t="shared" si="1"/>
        <v>300100052893</v>
      </c>
    </row>
    <row r="15" spans="1:15">
      <c r="A15" s="4" t="str">
        <f>"20201028"</f>
        <v>20201028</v>
      </c>
      <c r="B15" s="4" t="str">
        <f>"20201028"</f>
        <v>20201028</v>
      </c>
      <c r="C15" s="4" t="str">
        <f t="shared" si="15"/>
        <v>基金赎回拨入</v>
      </c>
      <c r="D15" s="4" t="str">
        <f t="shared" si="12"/>
        <v>AA0007</v>
      </c>
      <c r="E15" s="4" t="str">
        <f t="shared" si="13"/>
        <v>银河水星1号集合</v>
      </c>
      <c r="F15" s="4">
        <v>0</v>
      </c>
      <c r="G15" s="4">
        <v>0</v>
      </c>
      <c r="H15" s="4">
        <v>0</v>
      </c>
      <c r="I15" s="4">
        <v>0.17</v>
      </c>
      <c r="J15" s="4">
        <v>5</v>
      </c>
      <c r="K15" s="4">
        <v>0</v>
      </c>
      <c r="L15" s="4" t="str">
        <f t="shared" si="0"/>
        <v>人民币</v>
      </c>
      <c r="N15" s="4" t="str">
        <f t="shared" si="14"/>
        <v>980149593788</v>
      </c>
      <c r="O15" s="4" t="str">
        <f t="shared" si="1"/>
        <v>300100052893</v>
      </c>
    </row>
    <row r="16" spans="1:15">
      <c r="A16" s="4" t="str">
        <f>"20201029"</f>
        <v>20201029</v>
      </c>
      <c r="B16" s="4" t="str">
        <f>"20201029"</f>
        <v>20201029</v>
      </c>
      <c r="C16" s="4" t="str">
        <f t="shared" si="15"/>
        <v>基金赎回拨入</v>
      </c>
      <c r="D16" s="4" t="str">
        <f t="shared" si="12"/>
        <v>AA0007</v>
      </c>
      <c r="E16" s="4" t="str">
        <f t="shared" si="13"/>
        <v>银河水星1号集合</v>
      </c>
      <c r="F16" s="4">
        <v>0</v>
      </c>
      <c r="G16" s="4">
        <v>0</v>
      </c>
      <c r="H16" s="4">
        <v>0</v>
      </c>
      <c r="I16" s="4">
        <v>0.04</v>
      </c>
      <c r="J16" s="4">
        <v>5</v>
      </c>
      <c r="K16" s="4">
        <v>0</v>
      </c>
      <c r="L16" s="4" t="str">
        <f t="shared" si="0"/>
        <v>人民币</v>
      </c>
      <c r="N16" s="4" t="str">
        <f t="shared" si="14"/>
        <v>980149593788</v>
      </c>
      <c r="O16" s="4" t="str">
        <f t="shared" si="1"/>
        <v>300100052893</v>
      </c>
    </row>
    <row r="17" spans="1:15">
      <c r="A17" s="4" t="str">
        <f>"20201030"</f>
        <v>20201030</v>
      </c>
      <c r="B17" s="4" t="str">
        <f>"20201030"</f>
        <v>20201030</v>
      </c>
      <c r="C17" s="4" t="str">
        <f t="shared" si="15"/>
        <v>基金赎回拨入</v>
      </c>
      <c r="D17" s="4" t="str">
        <f t="shared" si="12"/>
        <v>AA0007</v>
      </c>
      <c r="E17" s="4" t="str">
        <f t="shared" si="13"/>
        <v>银河水星1号集合</v>
      </c>
      <c r="F17" s="4">
        <v>0</v>
      </c>
      <c r="G17" s="4">
        <v>0</v>
      </c>
      <c r="H17" s="4">
        <v>0</v>
      </c>
      <c r="I17" s="4">
        <v>0.04</v>
      </c>
      <c r="J17" s="4">
        <v>5</v>
      </c>
      <c r="K17" s="4">
        <v>0</v>
      </c>
      <c r="L17" s="4" t="str">
        <f t="shared" si="0"/>
        <v>人民币</v>
      </c>
      <c r="N17" s="4" t="str">
        <f t="shared" si="14"/>
        <v>980149593788</v>
      </c>
      <c r="O17" s="4" t="str">
        <f t="shared" si="1"/>
        <v>300100052893</v>
      </c>
    </row>
    <row r="18" spans="1:15">
      <c r="A18" s="4" t="str">
        <f>"20201102"</f>
        <v>20201102</v>
      </c>
      <c r="B18" s="4" t="str">
        <f>"20201102"</f>
        <v>20201102</v>
      </c>
      <c r="C18" s="4" t="str">
        <f t="shared" si="15"/>
        <v>基金赎回拨入</v>
      </c>
      <c r="D18" s="4" t="str">
        <f t="shared" si="12"/>
        <v>AA0007</v>
      </c>
      <c r="E18" s="4" t="str">
        <f t="shared" si="13"/>
        <v>银河水星1号集合</v>
      </c>
      <c r="F18" s="4">
        <v>0</v>
      </c>
      <c r="G18" s="4">
        <v>0</v>
      </c>
      <c r="H18" s="4">
        <v>0</v>
      </c>
      <c r="I18" s="4">
        <v>0.04</v>
      </c>
      <c r="J18" s="4">
        <v>5</v>
      </c>
      <c r="K18" s="4">
        <v>0</v>
      </c>
      <c r="L18" s="4" t="str">
        <f t="shared" si="0"/>
        <v>人民币</v>
      </c>
      <c r="N18" s="4" t="str">
        <f t="shared" si="14"/>
        <v>980149593788</v>
      </c>
      <c r="O18" s="4" t="str">
        <f t="shared" si="1"/>
        <v>300100052893</v>
      </c>
    </row>
    <row r="19" spans="1:15">
      <c r="A19" s="4" t="str">
        <f>"20201103"</f>
        <v>20201103</v>
      </c>
      <c r="B19" s="4" t="str">
        <f>"20201103"</f>
        <v>20201103</v>
      </c>
      <c r="C19" s="4" t="str">
        <f t="shared" si="15"/>
        <v>基金赎回拨入</v>
      </c>
      <c r="D19" s="4" t="str">
        <f t="shared" si="12"/>
        <v>AA0007</v>
      </c>
      <c r="E19" s="4" t="str">
        <f t="shared" si="13"/>
        <v>银河水星1号集合</v>
      </c>
      <c r="F19" s="4">
        <v>0</v>
      </c>
      <c r="G19" s="4">
        <v>0</v>
      </c>
      <c r="H19" s="4">
        <v>0</v>
      </c>
      <c r="I19" s="4">
        <v>0.13</v>
      </c>
      <c r="J19" s="4">
        <v>5</v>
      </c>
      <c r="K19" s="4">
        <v>0</v>
      </c>
      <c r="L19" s="4" t="str">
        <f t="shared" si="0"/>
        <v>人民币</v>
      </c>
      <c r="N19" s="4" t="str">
        <f t="shared" si="14"/>
        <v>980149593788</v>
      </c>
      <c r="O19" s="4" t="str">
        <f t="shared" si="1"/>
        <v>300100052893</v>
      </c>
    </row>
    <row r="20" spans="1:15">
      <c r="A20" s="4" t="str">
        <f>"20201104"</f>
        <v>20201104</v>
      </c>
      <c r="B20" s="4" t="str">
        <f>"20201104"</f>
        <v>20201104</v>
      </c>
      <c r="C20" s="4" t="str">
        <f t="shared" si="15"/>
        <v>基金赎回拨入</v>
      </c>
      <c r="D20" s="4" t="str">
        <f t="shared" si="12"/>
        <v>AA0007</v>
      </c>
      <c r="E20" s="4" t="str">
        <f t="shared" si="13"/>
        <v>银河水星1号集合</v>
      </c>
      <c r="F20" s="4">
        <v>0</v>
      </c>
      <c r="G20" s="4">
        <v>0</v>
      </c>
      <c r="H20" s="4">
        <v>0</v>
      </c>
      <c r="I20" s="4">
        <v>0.04</v>
      </c>
      <c r="J20" s="4">
        <v>5</v>
      </c>
      <c r="K20" s="4">
        <v>0</v>
      </c>
      <c r="L20" s="4" t="str">
        <f t="shared" si="0"/>
        <v>人民币</v>
      </c>
      <c r="N20" s="4" t="str">
        <f t="shared" si="14"/>
        <v>980149593788</v>
      </c>
      <c r="O20" s="4" t="str">
        <f t="shared" si="1"/>
        <v>300100052893</v>
      </c>
    </row>
    <row r="21" spans="1:15">
      <c r="A21" s="4" t="str">
        <f>"20201105"</f>
        <v>20201105</v>
      </c>
      <c r="B21" s="4" t="str">
        <f>"20201105"</f>
        <v>20201105</v>
      </c>
      <c r="C21" s="4" t="str">
        <f t="shared" si="15"/>
        <v>基金赎回拨入</v>
      </c>
      <c r="D21" s="4" t="str">
        <f t="shared" si="12"/>
        <v>AA0007</v>
      </c>
      <c r="E21" s="4" t="str">
        <f t="shared" si="13"/>
        <v>银河水星1号集合</v>
      </c>
      <c r="F21" s="4">
        <v>0</v>
      </c>
      <c r="G21" s="4">
        <v>0</v>
      </c>
      <c r="H21" s="4">
        <v>0</v>
      </c>
      <c r="I21" s="4">
        <v>0.04</v>
      </c>
      <c r="J21" s="4">
        <v>5</v>
      </c>
      <c r="K21" s="4">
        <v>0</v>
      </c>
      <c r="L21" s="4" t="str">
        <f t="shared" si="0"/>
        <v>人民币</v>
      </c>
      <c r="N21" s="4" t="str">
        <f t="shared" si="14"/>
        <v>980149593788</v>
      </c>
      <c r="O21" s="4" t="str">
        <f t="shared" si="1"/>
        <v>300100052893</v>
      </c>
    </row>
    <row r="22" spans="1:15">
      <c r="A22" s="4" t="str">
        <f>"20201106"</f>
        <v>20201106</v>
      </c>
      <c r="B22" s="4" t="str">
        <f>"20201106"</f>
        <v>20201106</v>
      </c>
      <c r="C22" s="4" t="str">
        <f t="shared" si="15"/>
        <v>基金赎回拨入</v>
      </c>
      <c r="D22" s="4" t="str">
        <f t="shared" si="12"/>
        <v>AA0007</v>
      </c>
      <c r="E22" s="4" t="str">
        <f t="shared" si="13"/>
        <v>银河水星1号集合</v>
      </c>
      <c r="F22" s="4">
        <v>0</v>
      </c>
      <c r="G22" s="4">
        <v>0</v>
      </c>
      <c r="H22" s="4">
        <v>0</v>
      </c>
      <c r="I22" s="4">
        <v>0.04</v>
      </c>
      <c r="J22" s="4">
        <v>5</v>
      </c>
      <c r="K22" s="4">
        <v>0</v>
      </c>
      <c r="L22" s="4" t="str">
        <f t="shared" si="0"/>
        <v>人民币</v>
      </c>
      <c r="N22" s="4" t="str">
        <f t="shared" si="14"/>
        <v>980149593788</v>
      </c>
      <c r="O22" s="4" t="str">
        <f t="shared" si="1"/>
        <v>300100052893</v>
      </c>
    </row>
    <row r="23" spans="1:15">
      <c r="A23" s="4" t="str">
        <f>"20201109"</f>
        <v>20201109</v>
      </c>
      <c r="B23" s="4" t="str">
        <f>"20201109"</f>
        <v>20201109</v>
      </c>
      <c r="C23" s="4" t="str">
        <f t="shared" si="15"/>
        <v>基金赎回拨入</v>
      </c>
      <c r="D23" s="4" t="str">
        <f t="shared" si="12"/>
        <v>AA0007</v>
      </c>
      <c r="E23" s="4" t="str">
        <f t="shared" si="13"/>
        <v>银河水星1号集合</v>
      </c>
      <c r="F23" s="4">
        <v>0</v>
      </c>
      <c r="G23" s="4">
        <v>0</v>
      </c>
      <c r="H23" s="4">
        <v>0</v>
      </c>
      <c r="I23" s="4">
        <v>0.04</v>
      </c>
      <c r="J23" s="4">
        <v>5</v>
      </c>
      <c r="K23" s="4">
        <v>0</v>
      </c>
      <c r="L23" s="4" t="str">
        <f t="shared" si="0"/>
        <v>人民币</v>
      </c>
      <c r="N23" s="4" t="str">
        <f t="shared" si="14"/>
        <v>980149593788</v>
      </c>
      <c r="O23" s="4" t="str">
        <f t="shared" si="1"/>
        <v>300100052893</v>
      </c>
    </row>
    <row r="24" spans="1:15">
      <c r="A24" s="4" t="str">
        <f>"20201110"</f>
        <v>20201110</v>
      </c>
      <c r="B24" s="4" t="str">
        <f>"20201110"</f>
        <v>20201110</v>
      </c>
      <c r="C24" s="4" t="str">
        <f>"证券转银行"</f>
        <v>证券转银行</v>
      </c>
      <c r="F24" s="4">
        <v>0</v>
      </c>
      <c r="G24" s="4">
        <v>0</v>
      </c>
      <c r="H24" s="4">
        <v>0</v>
      </c>
      <c r="I24" s="4">
        <v>-3028</v>
      </c>
      <c r="J24" s="4">
        <v>0.87</v>
      </c>
      <c r="K24" s="4">
        <v>0</v>
      </c>
      <c r="L24" s="4" t="str">
        <f t="shared" si="0"/>
        <v>人民币</v>
      </c>
      <c r="O24" s="4" t="str">
        <f t="shared" si="1"/>
        <v>300100052893</v>
      </c>
    </row>
    <row r="25" spans="1:15">
      <c r="A25" s="4" t="str">
        <f>"20201110"</f>
        <v>20201110</v>
      </c>
      <c r="B25" s="4" t="str">
        <f>"20201110"</f>
        <v>20201110</v>
      </c>
      <c r="C25" s="4" t="str">
        <f t="shared" ref="C25:C33" si="16">"基金赎回拨入"</f>
        <v>基金赎回拨入</v>
      </c>
      <c r="D25" s="4" t="str">
        <f t="shared" ref="D25:D33" si="17">"AA0007"</f>
        <v>AA0007</v>
      </c>
      <c r="E25" s="4" t="str">
        <f t="shared" ref="E25:E33" si="18">"银河水星1号集合"</f>
        <v>银河水星1号集合</v>
      </c>
      <c r="F25" s="4">
        <v>0</v>
      </c>
      <c r="G25" s="4">
        <v>4</v>
      </c>
      <c r="H25" s="4">
        <v>0</v>
      </c>
      <c r="I25" s="4">
        <v>4.13</v>
      </c>
      <c r="J25" s="4">
        <v>5</v>
      </c>
      <c r="K25" s="4">
        <v>0</v>
      </c>
      <c r="L25" s="4" t="str">
        <f t="shared" si="0"/>
        <v>人民币</v>
      </c>
      <c r="N25" s="4" t="str">
        <f t="shared" ref="N25:N33" si="19">"980149593788"</f>
        <v>980149593788</v>
      </c>
      <c r="O25" s="4" t="str">
        <f t="shared" si="1"/>
        <v>300100052893</v>
      </c>
    </row>
    <row r="26" spans="1:15">
      <c r="A26" s="4" t="str">
        <f>"20201111"</f>
        <v>20201111</v>
      </c>
      <c r="B26" s="4" t="str">
        <f>"20201111"</f>
        <v>20201111</v>
      </c>
      <c r="C26" s="4" t="str">
        <f t="shared" si="16"/>
        <v>基金赎回拨入</v>
      </c>
      <c r="D26" s="4" t="str">
        <f t="shared" si="17"/>
        <v>AA0007</v>
      </c>
      <c r="E26" s="4" t="str">
        <f t="shared" si="18"/>
        <v>银河水星1号集合</v>
      </c>
      <c r="F26" s="4">
        <v>0</v>
      </c>
      <c r="G26" s="4">
        <v>0</v>
      </c>
      <c r="H26" s="4">
        <v>0</v>
      </c>
      <c r="I26" s="4">
        <v>0.04</v>
      </c>
      <c r="J26" s="4">
        <v>5</v>
      </c>
      <c r="K26" s="4">
        <v>0</v>
      </c>
      <c r="L26" s="4" t="str">
        <f t="shared" si="0"/>
        <v>人民币</v>
      </c>
      <c r="N26" s="4" t="str">
        <f t="shared" si="19"/>
        <v>980149593788</v>
      </c>
      <c r="O26" s="4" t="str">
        <f t="shared" si="1"/>
        <v>300100052893</v>
      </c>
    </row>
    <row r="27" spans="1:15">
      <c r="A27" s="4" t="str">
        <f>"20201112"</f>
        <v>20201112</v>
      </c>
      <c r="B27" s="4" t="str">
        <f>"20201112"</f>
        <v>20201112</v>
      </c>
      <c r="C27" s="4" t="str">
        <f>"基金申购拨出"</f>
        <v>基金申购拨出</v>
      </c>
      <c r="D27" s="4" t="str">
        <f t="shared" si="17"/>
        <v>AA0007</v>
      </c>
      <c r="E27" s="4" t="str">
        <f t="shared" si="18"/>
        <v>银河水星1号集合</v>
      </c>
      <c r="F27" s="4">
        <v>0</v>
      </c>
      <c r="G27" s="4">
        <v>0</v>
      </c>
      <c r="H27" s="4">
        <v>0</v>
      </c>
      <c r="I27" s="4">
        <v>-3167.72</v>
      </c>
      <c r="J27" s="4">
        <v>-3162.76</v>
      </c>
      <c r="K27" s="4">
        <v>0</v>
      </c>
      <c r="L27" s="4" t="str">
        <f t="shared" si="0"/>
        <v>人民币</v>
      </c>
      <c r="N27" s="4" t="str">
        <f t="shared" si="19"/>
        <v>980149593788</v>
      </c>
      <c r="O27" s="4" t="str">
        <f t="shared" si="1"/>
        <v>300100052893</v>
      </c>
    </row>
    <row r="28" spans="1:15">
      <c r="A28" s="4" t="str">
        <f>"20201113"</f>
        <v>20201113</v>
      </c>
      <c r="B28" s="4" t="str">
        <f>"20201113"</f>
        <v>20201113</v>
      </c>
      <c r="C28" s="4" t="str">
        <f t="shared" si="16"/>
        <v>基金赎回拨入</v>
      </c>
      <c r="D28" s="4" t="str">
        <f t="shared" si="17"/>
        <v>AA0007</v>
      </c>
      <c r="E28" s="4" t="str">
        <f t="shared" si="18"/>
        <v>银河水星1号集合</v>
      </c>
      <c r="F28" s="4">
        <v>0</v>
      </c>
      <c r="G28" s="4">
        <v>0</v>
      </c>
      <c r="H28" s="4">
        <v>0</v>
      </c>
      <c r="I28" s="4">
        <v>0.05</v>
      </c>
      <c r="J28" s="4">
        <v>5</v>
      </c>
      <c r="K28" s="4">
        <v>0</v>
      </c>
      <c r="L28" s="4" t="str">
        <f t="shared" si="0"/>
        <v>人民币</v>
      </c>
      <c r="N28" s="4" t="str">
        <f t="shared" si="19"/>
        <v>980149593788</v>
      </c>
      <c r="O28" s="4" t="str">
        <f t="shared" si="1"/>
        <v>300100052893</v>
      </c>
    </row>
    <row r="29" spans="1:15">
      <c r="A29" s="4" t="str">
        <f>"20201116"</f>
        <v>20201116</v>
      </c>
      <c r="B29" s="4" t="str">
        <f>"20201116"</f>
        <v>20201116</v>
      </c>
      <c r="C29" s="4" t="str">
        <f t="shared" si="16"/>
        <v>基金赎回拨入</v>
      </c>
      <c r="D29" s="4" t="str">
        <f t="shared" si="17"/>
        <v>AA0007</v>
      </c>
      <c r="E29" s="4" t="str">
        <f t="shared" si="18"/>
        <v>银河水星1号集合</v>
      </c>
      <c r="F29" s="4">
        <v>0</v>
      </c>
      <c r="G29" s="4">
        <v>0</v>
      </c>
      <c r="H29" s="4">
        <v>0</v>
      </c>
      <c r="I29" s="4">
        <v>0.04</v>
      </c>
      <c r="J29" s="4">
        <v>5</v>
      </c>
      <c r="K29" s="4">
        <v>0</v>
      </c>
      <c r="L29" s="4" t="str">
        <f t="shared" si="0"/>
        <v>人民币</v>
      </c>
      <c r="N29" s="4" t="str">
        <f t="shared" si="19"/>
        <v>980149593788</v>
      </c>
      <c r="O29" s="4" t="str">
        <f t="shared" si="1"/>
        <v>300100052893</v>
      </c>
    </row>
    <row r="30" spans="1:15">
      <c r="A30" s="4" t="str">
        <f>"20201117"</f>
        <v>20201117</v>
      </c>
      <c r="B30" s="4" t="str">
        <f>"20201117"</f>
        <v>20201117</v>
      </c>
      <c r="C30" s="4" t="str">
        <f t="shared" si="16"/>
        <v>基金赎回拨入</v>
      </c>
      <c r="D30" s="4" t="str">
        <f t="shared" si="17"/>
        <v>AA0007</v>
      </c>
      <c r="E30" s="4" t="str">
        <f t="shared" si="18"/>
        <v>银河水星1号集合</v>
      </c>
      <c r="F30" s="4">
        <v>0</v>
      </c>
      <c r="G30" s="4">
        <v>0</v>
      </c>
      <c r="H30" s="4">
        <v>0</v>
      </c>
      <c r="I30" s="4">
        <v>0.13</v>
      </c>
      <c r="J30" s="4">
        <v>5</v>
      </c>
      <c r="K30" s="4">
        <v>0</v>
      </c>
      <c r="L30" s="4" t="str">
        <f t="shared" si="0"/>
        <v>人民币</v>
      </c>
      <c r="N30" s="4" t="str">
        <f t="shared" si="19"/>
        <v>980149593788</v>
      </c>
      <c r="O30" s="4" t="str">
        <f t="shared" si="1"/>
        <v>300100052893</v>
      </c>
    </row>
    <row r="31" spans="1:15">
      <c r="A31" s="4" t="str">
        <f>"20201118"</f>
        <v>20201118</v>
      </c>
      <c r="B31" s="4" t="str">
        <f>"20201118"</f>
        <v>20201118</v>
      </c>
      <c r="C31" s="4" t="str">
        <f t="shared" si="16"/>
        <v>基金赎回拨入</v>
      </c>
      <c r="D31" s="4" t="str">
        <f t="shared" si="17"/>
        <v>AA0007</v>
      </c>
      <c r="E31" s="4" t="str">
        <f t="shared" si="18"/>
        <v>银河水星1号集合</v>
      </c>
      <c r="F31" s="4">
        <v>0</v>
      </c>
      <c r="G31" s="4">
        <v>0</v>
      </c>
      <c r="H31" s="4">
        <v>0</v>
      </c>
      <c r="I31" s="4">
        <v>0.04</v>
      </c>
      <c r="J31" s="4">
        <v>5</v>
      </c>
      <c r="K31" s="4">
        <v>0</v>
      </c>
      <c r="L31" s="4" t="str">
        <f t="shared" si="0"/>
        <v>人民币</v>
      </c>
      <c r="N31" s="4" t="str">
        <f t="shared" si="19"/>
        <v>980149593788</v>
      </c>
      <c r="O31" s="4" t="str">
        <f t="shared" si="1"/>
        <v>300100052893</v>
      </c>
    </row>
    <row r="32" spans="1:15">
      <c r="A32" s="4" t="str">
        <f>"20201119"</f>
        <v>20201119</v>
      </c>
      <c r="B32" s="4" t="str">
        <f>"20201119"</f>
        <v>20201119</v>
      </c>
      <c r="C32" s="4" t="str">
        <f t="shared" si="16"/>
        <v>基金赎回拨入</v>
      </c>
      <c r="D32" s="4" t="str">
        <f t="shared" si="17"/>
        <v>AA0007</v>
      </c>
      <c r="E32" s="4" t="str">
        <f t="shared" si="18"/>
        <v>银河水星1号集合</v>
      </c>
      <c r="F32" s="4">
        <v>0</v>
      </c>
      <c r="G32" s="4">
        <v>0</v>
      </c>
      <c r="H32" s="4">
        <v>0</v>
      </c>
      <c r="I32" s="4">
        <v>0.04</v>
      </c>
      <c r="J32" s="4">
        <v>5</v>
      </c>
      <c r="K32" s="4">
        <v>0</v>
      </c>
      <c r="L32" s="4" t="str">
        <f t="shared" si="0"/>
        <v>人民币</v>
      </c>
      <c r="N32" s="4" t="str">
        <f t="shared" si="19"/>
        <v>980149593788</v>
      </c>
      <c r="O32" s="4" t="str">
        <f t="shared" si="1"/>
        <v>300100052893</v>
      </c>
    </row>
    <row r="33" spans="1:15">
      <c r="A33" s="4" t="str">
        <f>"20201120"</f>
        <v>20201120</v>
      </c>
      <c r="B33" s="4" t="str">
        <f>"20201120"</f>
        <v>20201120</v>
      </c>
      <c r="C33" s="4" t="str">
        <f t="shared" si="16"/>
        <v>基金赎回拨入</v>
      </c>
      <c r="D33" s="4" t="str">
        <f t="shared" si="17"/>
        <v>AA0007</v>
      </c>
      <c r="E33" s="4" t="str">
        <f t="shared" si="18"/>
        <v>银河水星1号集合</v>
      </c>
      <c r="F33" s="4">
        <v>0</v>
      </c>
      <c r="G33" s="4">
        <v>0</v>
      </c>
      <c r="H33" s="4">
        <v>0</v>
      </c>
      <c r="I33" s="4">
        <v>0.04</v>
      </c>
      <c r="J33" s="4">
        <v>5</v>
      </c>
      <c r="K33" s="4">
        <v>0</v>
      </c>
      <c r="L33" s="4" t="str">
        <f t="shared" si="0"/>
        <v>人民币</v>
      </c>
      <c r="N33" s="4" t="str">
        <f t="shared" si="19"/>
        <v>980149593788</v>
      </c>
      <c r="O33" s="4" t="str">
        <f t="shared" si="1"/>
        <v>300100052893</v>
      </c>
    </row>
    <row r="34" spans="1:15">
      <c r="A34" s="4" t="str">
        <f>"20201123"</f>
        <v>20201123</v>
      </c>
      <c r="B34" s="4" t="str">
        <f>"20201123"</f>
        <v>20201123</v>
      </c>
      <c r="C34" s="4" t="str">
        <f>"证券买入"</f>
        <v>证券买入</v>
      </c>
      <c r="D34" s="4" t="str">
        <f>"000601"</f>
        <v>000601</v>
      </c>
      <c r="E34" s="4" t="str">
        <f>"韶能股份"</f>
        <v>韶能股份</v>
      </c>
      <c r="F34" s="4">
        <v>7.16</v>
      </c>
      <c r="G34" s="4">
        <v>1100</v>
      </c>
      <c r="H34" s="4">
        <v>7876</v>
      </c>
      <c r="I34" s="4">
        <v>-7881</v>
      </c>
      <c r="J34" s="4">
        <v>-7876.04</v>
      </c>
      <c r="K34" s="4">
        <v>2800</v>
      </c>
      <c r="L34" s="4" t="str">
        <f t="shared" si="0"/>
        <v>人民币</v>
      </c>
      <c r="M34" s="4" t="str">
        <f>"T4006937"</f>
        <v>T4006937</v>
      </c>
      <c r="N34" s="4" t="str">
        <f>"0149593788"</f>
        <v>0149593788</v>
      </c>
      <c r="O34" s="4" t="str">
        <f t="shared" si="1"/>
        <v>300100052893</v>
      </c>
    </row>
    <row r="35" spans="1:15">
      <c r="A35" s="4" t="str">
        <f>"20201123"</f>
        <v>20201123</v>
      </c>
      <c r="B35" s="4" t="str">
        <f>"20201123"</f>
        <v>20201123</v>
      </c>
      <c r="C35" s="4" t="str">
        <f>"证券卖出"</f>
        <v>证券卖出</v>
      </c>
      <c r="D35" s="4" t="str">
        <f>"000601"</f>
        <v>000601</v>
      </c>
      <c r="E35" s="4" t="str">
        <f>"韶能股份"</f>
        <v>韶能股份</v>
      </c>
      <c r="F35" s="4">
        <v>7.51</v>
      </c>
      <c r="G35" s="4">
        <v>1100</v>
      </c>
      <c r="H35" s="4">
        <v>8261</v>
      </c>
      <c r="I35" s="4">
        <v>8247.74</v>
      </c>
      <c r="J35" s="4">
        <v>371.7</v>
      </c>
      <c r="K35" s="4">
        <v>1700</v>
      </c>
      <c r="L35" s="4" t="str">
        <f t="shared" si="0"/>
        <v>人民币</v>
      </c>
      <c r="M35" s="4" t="str">
        <f>"T4008999"</f>
        <v>T4008999</v>
      </c>
      <c r="N35" s="4" t="str">
        <f>"0149593788"</f>
        <v>0149593788</v>
      </c>
      <c r="O35" s="4" t="str">
        <f t="shared" si="1"/>
        <v>300100052893</v>
      </c>
    </row>
    <row r="36" spans="1:15">
      <c r="A36" s="4" t="str">
        <f>"20201127"</f>
        <v>20201127</v>
      </c>
      <c r="B36" s="4" t="str">
        <f>"20201127"</f>
        <v>20201127</v>
      </c>
      <c r="C36" s="4" t="str">
        <f t="shared" ref="C36:C45" si="20">"基金赎回拨入"</f>
        <v>基金赎回拨入</v>
      </c>
      <c r="D36" s="4" t="str">
        <f t="shared" ref="D36:D50" si="21">"AA0007"</f>
        <v>AA0007</v>
      </c>
      <c r="E36" s="4" t="str">
        <f t="shared" ref="E36:E50" si="22">"银河水星1号集合"</f>
        <v>银河水星1号集合</v>
      </c>
      <c r="F36" s="4">
        <v>0</v>
      </c>
      <c r="G36" s="4">
        <v>7569</v>
      </c>
      <c r="H36" s="4">
        <v>0</v>
      </c>
      <c r="I36" s="4">
        <v>7569.56</v>
      </c>
      <c r="J36" s="4">
        <v>7941</v>
      </c>
      <c r="K36" s="4">
        <v>0</v>
      </c>
      <c r="L36" s="4" t="str">
        <f t="shared" si="0"/>
        <v>人民币</v>
      </c>
      <c r="N36" s="4" t="str">
        <f t="shared" ref="N36:N50" si="23">"980149593788"</f>
        <v>980149593788</v>
      </c>
      <c r="O36" s="4" t="str">
        <f t="shared" si="1"/>
        <v>300100052893</v>
      </c>
    </row>
    <row r="37" spans="1:15">
      <c r="A37" s="4" t="str">
        <f>"20201130"</f>
        <v>20201130</v>
      </c>
      <c r="B37" s="4" t="str">
        <f>"20201130"</f>
        <v>20201130</v>
      </c>
      <c r="C37" s="4" t="str">
        <f>"基金申购拨出"</f>
        <v>基金申购拨出</v>
      </c>
      <c r="D37" s="4" t="str">
        <f t="shared" si="21"/>
        <v>AA0007</v>
      </c>
      <c r="E37" s="4" t="str">
        <f t="shared" si="22"/>
        <v>银河水星1号集合</v>
      </c>
      <c r="F37" s="4">
        <v>0</v>
      </c>
      <c r="G37" s="4">
        <v>0</v>
      </c>
      <c r="H37" s="4">
        <v>0</v>
      </c>
      <c r="I37" s="4">
        <v>-7935.95</v>
      </c>
      <c r="J37" s="4">
        <v>5</v>
      </c>
      <c r="K37" s="4">
        <v>0</v>
      </c>
      <c r="L37" s="4" t="str">
        <f t="shared" si="0"/>
        <v>人民币</v>
      </c>
      <c r="N37" s="4" t="str">
        <f t="shared" si="23"/>
        <v>980149593788</v>
      </c>
      <c r="O37" s="4" t="str">
        <f t="shared" si="1"/>
        <v>300100052893</v>
      </c>
    </row>
    <row r="38" spans="1:15">
      <c r="A38" s="4" t="str">
        <f>"20201201"</f>
        <v>20201201</v>
      </c>
      <c r="B38" s="4" t="str">
        <f>"20201201"</f>
        <v>20201201</v>
      </c>
      <c r="C38" s="4" t="str">
        <f t="shared" si="20"/>
        <v>基金赎回拨入</v>
      </c>
      <c r="D38" s="4" t="str">
        <f t="shared" si="21"/>
        <v>AA0007</v>
      </c>
      <c r="E38" s="4" t="str">
        <f t="shared" si="22"/>
        <v>银河水星1号集合</v>
      </c>
      <c r="F38" s="4">
        <v>0</v>
      </c>
      <c r="G38" s="4">
        <v>0</v>
      </c>
      <c r="H38" s="4">
        <v>0</v>
      </c>
      <c r="I38" s="4">
        <v>0.15</v>
      </c>
      <c r="J38" s="4">
        <v>5</v>
      </c>
      <c r="K38" s="4">
        <v>0</v>
      </c>
      <c r="L38" s="4" t="str">
        <f t="shared" si="0"/>
        <v>人民币</v>
      </c>
      <c r="N38" s="4" t="str">
        <f t="shared" si="23"/>
        <v>980149593788</v>
      </c>
      <c r="O38" s="4" t="str">
        <f t="shared" si="1"/>
        <v>300100052893</v>
      </c>
    </row>
    <row r="39" spans="1:15">
      <c r="A39" s="4" t="str">
        <f>"20201202"</f>
        <v>20201202</v>
      </c>
      <c r="B39" s="4" t="str">
        <f>"20201202"</f>
        <v>20201202</v>
      </c>
      <c r="C39" s="4" t="str">
        <f t="shared" si="20"/>
        <v>基金赎回拨入</v>
      </c>
      <c r="D39" s="4" t="str">
        <f t="shared" si="21"/>
        <v>AA0007</v>
      </c>
      <c r="E39" s="4" t="str">
        <f t="shared" si="22"/>
        <v>银河水星1号集合</v>
      </c>
      <c r="F39" s="4">
        <v>0</v>
      </c>
      <c r="G39" s="4">
        <v>0</v>
      </c>
      <c r="H39" s="4">
        <v>0</v>
      </c>
      <c r="I39" s="4">
        <v>0.04</v>
      </c>
      <c r="J39" s="4">
        <v>5</v>
      </c>
      <c r="K39" s="4">
        <v>0</v>
      </c>
      <c r="L39" s="4" t="str">
        <f t="shared" si="0"/>
        <v>人民币</v>
      </c>
      <c r="N39" s="4" t="str">
        <f t="shared" si="23"/>
        <v>980149593788</v>
      </c>
      <c r="O39" s="4" t="str">
        <f t="shared" si="1"/>
        <v>300100052893</v>
      </c>
    </row>
    <row r="40" spans="1:15">
      <c r="A40" s="4" t="str">
        <f>"20201203"</f>
        <v>20201203</v>
      </c>
      <c r="B40" s="4" t="str">
        <f>"20201203"</f>
        <v>20201203</v>
      </c>
      <c r="C40" s="4" t="str">
        <f t="shared" si="20"/>
        <v>基金赎回拨入</v>
      </c>
      <c r="D40" s="4" t="str">
        <f t="shared" si="21"/>
        <v>AA0007</v>
      </c>
      <c r="E40" s="4" t="str">
        <f t="shared" si="22"/>
        <v>银河水星1号集合</v>
      </c>
      <c r="F40" s="4">
        <v>0</v>
      </c>
      <c r="G40" s="4">
        <v>0</v>
      </c>
      <c r="H40" s="4">
        <v>0</v>
      </c>
      <c r="I40" s="4">
        <v>0.04</v>
      </c>
      <c r="J40" s="4">
        <v>5</v>
      </c>
      <c r="K40" s="4">
        <v>0</v>
      </c>
      <c r="L40" s="4" t="str">
        <f t="shared" si="0"/>
        <v>人民币</v>
      </c>
      <c r="N40" s="4" t="str">
        <f t="shared" si="23"/>
        <v>980149593788</v>
      </c>
      <c r="O40" s="4" t="str">
        <f t="shared" si="1"/>
        <v>300100052893</v>
      </c>
    </row>
    <row r="41" spans="1:15">
      <c r="A41" s="4" t="str">
        <f>"20201204"</f>
        <v>20201204</v>
      </c>
      <c r="B41" s="4" t="str">
        <f>"20201204"</f>
        <v>20201204</v>
      </c>
      <c r="C41" s="4" t="str">
        <f t="shared" si="20"/>
        <v>基金赎回拨入</v>
      </c>
      <c r="D41" s="4" t="str">
        <f t="shared" si="21"/>
        <v>AA0007</v>
      </c>
      <c r="E41" s="4" t="str">
        <f t="shared" si="22"/>
        <v>银河水星1号集合</v>
      </c>
      <c r="F41" s="4">
        <v>0</v>
      </c>
      <c r="G41" s="4">
        <v>0</v>
      </c>
      <c r="H41" s="4">
        <v>0</v>
      </c>
      <c r="I41" s="4">
        <v>0.04</v>
      </c>
      <c r="J41" s="4">
        <v>5</v>
      </c>
      <c r="K41" s="4">
        <v>0</v>
      </c>
      <c r="L41" s="4" t="str">
        <f t="shared" si="0"/>
        <v>人民币</v>
      </c>
      <c r="N41" s="4" t="str">
        <f t="shared" si="23"/>
        <v>980149593788</v>
      </c>
      <c r="O41" s="4" t="str">
        <f t="shared" si="1"/>
        <v>300100052893</v>
      </c>
    </row>
    <row r="42" spans="1:15">
      <c r="A42" s="4" t="str">
        <f>"20201207"</f>
        <v>20201207</v>
      </c>
      <c r="B42" s="4" t="str">
        <f>"20201207"</f>
        <v>20201207</v>
      </c>
      <c r="C42" s="4" t="str">
        <f t="shared" si="20"/>
        <v>基金赎回拨入</v>
      </c>
      <c r="D42" s="4" t="str">
        <f t="shared" si="21"/>
        <v>AA0007</v>
      </c>
      <c r="E42" s="4" t="str">
        <f t="shared" si="22"/>
        <v>银河水星1号集合</v>
      </c>
      <c r="F42" s="4">
        <v>0</v>
      </c>
      <c r="G42" s="4">
        <v>0</v>
      </c>
      <c r="H42" s="4">
        <v>0</v>
      </c>
      <c r="I42" s="4">
        <v>0.04</v>
      </c>
      <c r="J42" s="4">
        <v>5</v>
      </c>
      <c r="K42" s="4">
        <v>0</v>
      </c>
      <c r="L42" s="4" t="str">
        <f t="shared" si="0"/>
        <v>人民币</v>
      </c>
      <c r="N42" s="4" t="str">
        <f t="shared" si="23"/>
        <v>980149593788</v>
      </c>
      <c r="O42" s="4" t="str">
        <f t="shared" si="1"/>
        <v>300100052893</v>
      </c>
    </row>
    <row r="43" spans="1:15">
      <c r="A43" s="4" t="str">
        <f>"20201208"</f>
        <v>20201208</v>
      </c>
      <c r="B43" s="4" t="str">
        <f>"20201208"</f>
        <v>20201208</v>
      </c>
      <c r="C43" s="4" t="str">
        <f t="shared" si="20"/>
        <v>基金赎回拨入</v>
      </c>
      <c r="D43" s="4" t="str">
        <f t="shared" si="21"/>
        <v>AA0007</v>
      </c>
      <c r="E43" s="4" t="str">
        <f t="shared" si="22"/>
        <v>银河水星1号集合</v>
      </c>
      <c r="F43" s="4">
        <v>0</v>
      </c>
      <c r="G43" s="4">
        <v>0</v>
      </c>
      <c r="H43" s="4">
        <v>0</v>
      </c>
      <c r="I43" s="4">
        <v>0.13</v>
      </c>
      <c r="J43" s="4">
        <v>5</v>
      </c>
      <c r="K43" s="4">
        <v>0</v>
      </c>
      <c r="L43" s="4" t="str">
        <f t="shared" si="0"/>
        <v>人民币</v>
      </c>
      <c r="N43" s="4" t="str">
        <f t="shared" si="23"/>
        <v>980149593788</v>
      </c>
      <c r="O43" s="4" t="str">
        <f t="shared" si="1"/>
        <v>300100052893</v>
      </c>
    </row>
    <row r="44" spans="1:15">
      <c r="A44" s="4" t="str">
        <f>"20201209"</f>
        <v>20201209</v>
      </c>
      <c r="B44" s="4" t="str">
        <f>"20201209"</f>
        <v>20201209</v>
      </c>
      <c r="C44" s="4" t="str">
        <f t="shared" si="20"/>
        <v>基金赎回拨入</v>
      </c>
      <c r="D44" s="4" t="str">
        <f t="shared" si="21"/>
        <v>AA0007</v>
      </c>
      <c r="E44" s="4" t="str">
        <f t="shared" si="22"/>
        <v>银河水星1号集合</v>
      </c>
      <c r="F44" s="4">
        <v>0</v>
      </c>
      <c r="G44" s="4">
        <v>0</v>
      </c>
      <c r="H44" s="4">
        <v>0</v>
      </c>
      <c r="I44" s="4">
        <v>0.04</v>
      </c>
      <c r="J44" s="4">
        <v>5</v>
      </c>
      <c r="K44" s="4">
        <v>0</v>
      </c>
      <c r="L44" s="4" t="str">
        <f t="shared" si="0"/>
        <v>人民币</v>
      </c>
      <c r="N44" s="4" t="str">
        <f t="shared" si="23"/>
        <v>980149593788</v>
      </c>
      <c r="O44" s="4" t="str">
        <f t="shared" si="1"/>
        <v>300100052893</v>
      </c>
    </row>
    <row r="45" spans="1:15">
      <c r="A45" s="4" t="str">
        <f>"20201210"</f>
        <v>20201210</v>
      </c>
      <c r="B45" s="4" t="str">
        <f>"20201210"</f>
        <v>20201210</v>
      </c>
      <c r="C45" s="4" t="str">
        <f t="shared" si="20"/>
        <v>基金赎回拨入</v>
      </c>
      <c r="D45" s="4" t="str">
        <f t="shared" si="21"/>
        <v>AA0007</v>
      </c>
      <c r="E45" s="4" t="str">
        <f t="shared" si="22"/>
        <v>银河水星1号集合</v>
      </c>
      <c r="F45" s="4">
        <v>0</v>
      </c>
      <c r="G45" s="4">
        <v>8309</v>
      </c>
      <c r="H45" s="4">
        <v>0</v>
      </c>
      <c r="I45" s="4">
        <v>8309.04</v>
      </c>
      <c r="J45" s="4">
        <v>8314</v>
      </c>
      <c r="K45" s="4">
        <v>0</v>
      </c>
      <c r="L45" s="4" t="str">
        <f t="shared" si="0"/>
        <v>人民币</v>
      </c>
      <c r="N45" s="4" t="str">
        <f t="shared" si="23"/>
        <v>980149593788</v>
      </c>
      <c r="O45" s="4" t="str">
        <f t="shared" si="1"/>
        <v>300100052893</v>
      </c>
    </row>
    <row r="46" spans="1:15">
      <c r="A46" s="4" t="str">
        <f>"20201211"</f>
        <v>20201211</v>
      </c>
      <c r="B46" s="4" t="str">
        <f>"20201211"</f>
        <v>20201211</v>
      </c>
      <c r="C46" s="4" t="str">
        <f>"基金申购拨出"</f>
        <v>基金申购拨出</v>
      </c>
      <c r="D46" s="4" t="str">
        <f t="shared" si="21"/>
        <v>AA0007</v>
      </c>
      <c r="E46" s="4" t="str">
        <f t="shared" si="22"/>
        <v>银河水星1号集合</v>
      </c>
      <c r="F46" s="4">
        <v>0</v>
      </c>
      <c r="G46" s="4">
        <v>0</v>
      </c>
      <c r="H46" s="4">
        <v>0</v>
      </c>
      <c r="I46" s="4">
        <v>-8308.96</v>
      </c>
      <c r="J46" s="4">
        <v>5</v>
      </c>
      <c r="K46" s="4">
        <v>0</v>
      </c>
      <c r="L46" s="4" t="str">
        <f t="shared" si="0"/>
        <v>人民币</v>
      </c>
      <c r="N46" s="4" t="str">
        <f t="shared" si="23"/>
        <v>980149593788</v>
      </c>
      <c r="O46" s="4" t="str">
        <f t="shared" si="1"/>
        <v>300100052893</v>
      </c>
    </row>
    <row r="47" spans="1:15">
      <c r="A47" s="4" t="str">
        <f>"20201214"</f>
        <v>20201214</v>
      </c>
      <c r="B47" s="4" t="str">
        <f>"20201214"</f>
        <v>20201214</v>
      </c>
      <c r="C47" s="4" t="str">
        <f t="shared" ref="C47:C50" si="24">"基金赎回拨入"</f>
        <v>基金赎回拨入</v>
      </c>
      <c r="D47" s="4" t="str">
        <f t="shared" si="21"/>
        <v>AA0007</v>
      </c>
      <c r="E47" s="4" t="str">
        <f t="shared" si="22"/>
        <v>银河水星1号集合</v>
      </c>
      <c r="F47" s="4">
        <v>0</v>
      </c>
      <c r="G47" s="4">
        <v>0</v>
      </c>
      <c r="H47" s="4">
        <v>0</v>
      </c>
      <c r="I47" s="4">
        <v>0.04</v>
      </c>
      <c r="J47" s="4">
        <v>5</v>
      </c>
      <c r="K47" s="4">
        <v>0</v>
      </c>
      <c r="L47" s="4" t="str">
        <f t="shared" si="0"/>
        <v>人民币</v>
      </c>
      <c r="N47" s="4" t="str">
        <f t="shared" si="23"/>
        <v>980149593788</v>
      </c>
      <c r="O47" s="4" t="str">
        <f t="shared" si="1"/>
        <v>300100052893</v>
      </c>
    </row>
    <row r="48" spans="1:15">
      <c r="A48" s="4" t="str">
        <f>"20201215"</f>
        <v>20201215</v>
      </c>
      <c r="B48" s="4" t="str">
        <f>"20201215"</f>
        <v>20201215</v>
      </c>
      <c r="C48" s="4" t="str">
        <f t="shared" si="24"/>
        <v>基金赎回拨入</v>
      </c>
      <c r="D48" s="4" t="str">
        <f t="shared" si="21"/>
        <v>AA0007</v>
      </c>
      <c r="E48" s="4" t="str">
        <f t="shared" si="22"/>
        <v>银河水星1号集合</v>
      </c>
      <c r="F48" s="4">
        <v>0</v>
      </c>
      <c r="G48" s="4">
        <v>0</v>
      </c>
      <c r="H48" s="4">
        <v>0</v>
      </c>
      <c r="I48" s="4">
        <v>0.13</v>
      </c>
      <c r="J48" s="4">
        <v>5</v>
      </c>
      <c r="K48" s="4">
        <v>0</v>
      </c>
      <c r="L48" s="4" t="str">
        <f t="shared" si="0"/>
        <v>人民币</v>
      </c>
      <c r="N48" s="4" t="str">
        <f t="shared" si="23"/>
        <v>980149593788</v>
      </c>
      <c r="O48" s="4" t="str">
        <f t="shared" si="1"/>
        <v>300100052893</v>
      </c>
    </row>
    <row r="49" spans="1:15">
      <c r="A49" s="4" t="str">
        <f>"20201216"</f>
        <v>20201216</v>
      </c>
      <c r="B49" s="4" t="str">
        <f>"20201216"</f>
        <v>20201216</v>
      </c>
      <c r="C49" s="4" t="str">
        <f t="shared" si="24"/>
        <v>基金赎回拨入</v>
      </c>
      <c r="D49" s="4" t="str">
        <f t="shared" si="21"/>
        <v>AA0007</v>
      </c>
      <c r="E49" s="4" t="str">
        <f t="shared" si="22"/>
        <v>银河水星1号集合</v>
      </c>
      <c r="F49" s="4">
        <v>0</v>
      </c>
      <c r="G49" s="4">
        <v>0</v>
      </c>
      <c r="H49" s="4">
        <v>0</v>
      </c>
      <c r="I49" s="4">
        <v>0.04</v>
      </c>
      <c r="J49" s="4">
        <v>5</v>
      </c>
      <c r="K49" s="4">
        <v>0</v>
      </c>
      <c r="L49" s="4" t="str">
        <f t="shared" si="0"/>
        <v>人民币</v>
      </c>
      <c r="N49" s="4" t="str">
        <f t="shared" si="23"/>
        <v>980149593788</v>
      </c>
      <c r="O49" s="4" t="str">
        <f t="shared" si="1"/>
        <v>300100052893</v>
      </c>
    </row>
    <row r="50" spans="1:15">
      <c r="A50" s="4" t="str">
        <f t="shared" ref="A50:A52" si="25">"20201217"</f>
        <v>20201217</v>
      </c>
      <c r="B50" s="4" t="str">
        <f t="shared" ref="B50:B52" si="26">"20201217"</f>
        <v>20201217</v>
      </c>
      <c r="C50" s="4" t="str">
        <f t="shared" si="24"/>
        <v>基金赎回拨入</v>
      </c>
      <c r="D50" s="4" t="str">
        <f t="shared" si="21"/>
        <v>AA0007</v>
      </c>
      <c r="E50" s="4" t="str">
        <f t="shared" si="22"/>
        <v>银河水星1号集合</v>
      </c>
      <c r="F50" s="4">
        <v>0</v>
      </c>
      <c r="G50" s="4">
        <v>8250</v>
      </c>
      <c r="H50" s="4">
        <v>0</v>
      </c>
      <c r="I50" s="4">
        <v>8250.07</v>
      </c>
      <c r="J50" s="4">
        <v>8255.03</v>
      </c>
      <c r="K50" s="4">
        <v>0</v>
      </c>
      <c r="L50" s="4" t="str">
        <f t="shared" si="0"/>
        <v>人民币</v>
      </c>
      <c r="N50" s="4" t="str">
        <f t="shared" si="23"/>
        <v>980149593788</v>
      </c>
      <c r="O50" s="4" t="str">
        <f t="shared" si="1"/>
        <v>300100052893</v>
      </c>
    </row>
    <row r="51" spans="1:15">
      <c r="A51" s="4" t="str">
        <f t="shared" si="25"/>
        <v>20201217</v>
      </c>
      <c r="B51" s="4" t="str">
        <f t="shared" si="26"/>
        <v>20201217</v>
      </c>
      <c r="C51" s="4" t="str">
        <f>"证券卖出"</f>
        <v>证券卖出</v>
      </c>
      <c r="D51" s="4" t="str">
        <f>"003016"</f>
        <v>003016</v>
      </c>
      <c r="E51" s="4" t="str">
        <f>"欣贺股份"</f>
        <v>欣贺股份</v>
      </c>
      <c r="F51" s="4">
        <v>10.05</v>
      </c>
      <c r="G51" s="4">
        <v>500</v>
      </c>
      <c r="H51" s="4">
        <v>5025</v>
      </c>
      <c r="I51" s="4">
        <v>5014.97</v>
      </c>
      <c r="J51" s="4">
        <v>13270</v>
      </c>
      <c r="K51" s="4">
        <v>0</v>
      </c>
      <c r="L51" s="4" t="str">
        <f t="shared" si="0"/>
        <v>人民币</v>
      </c>
      <c r="M51" s="4" t="str">
        <f>"T4006481"</f>
        <v>T4006481</v>
      </c>
      <c r="N51" s="4" t="str">
        <f>"0149593788"</f>
        <v>0149593788</v>
      </c>
      <c r="O51" s="4" t="str">
        <f t="shared" si="1"/>
        <v>300100052893</v>
      </c>
    </row>
    <row r="52" spans="1:15">
      <c r="A52" s="4" t="str">
        <f t="shared" si="25"/>
        <v>20201217</v>
      </c>
      <c r="B52" s="4" t="str">
        <f t="shared" si="26"/>
        <v>20201217</v>
      </c>
      <c r="C52" s="4" t="str">
        <f>"证券买入"</f>
        <v>证券买入</v>
      </c>
      <c r="D52" s="4" t="str">
        <f>"002183"</f>
        <v>002183</v>
      </c>
      <c r="E52" s="4" t="str">
        <f>"怡 亚 通"</f>
        <v>怡 亚 通</v>
      </c>
      <c r="F52" s="4">
        <v>4.42</v>
      </c>
      <c r="G52" s="4">
        <v>3000</v>
      </c>
      <c r="H52" s="4">
        <v>13260</v>
      </c>
      <c r="I52" s="4">
        <v>-13265</v>
      </c>
      <c r="J52" s="4">
        <v>5</v>
      </c>
      <c r="K52" s="4">
        <v>3000</v>
      </c>
      <c r="L52" s="4" t="str">
        <f t="shared" si="0"/>
        <v>人民币</v>
      </c>
      <c r="M52" s="4" t="str">
        <f>"T4007226"</f>
        <v>T4007226</v>
      </c>
      <c r="N52" s="4" t="str">
        <f>"0149593788"</f>
        <v>0149593788</v>
      </c>
      <c r="O52" s="4" t="str">
        <f t="shared" si="1"/>
        <v>300100052893</v>
      </c>
    </row>
    <row r="53" spans="1:15">
      <c r="A53" s="4" t="str">
        <f>"20201218"</f>
        <v>20201218</v>
      </c>
      <c r="B53" s="4" t="str">
        <f>"20201218"</f>
        <v>20201218</v>
      </c>
      <c r="C53" s="4" t="str">
        <f>"利息归本"</f>
        <v>利息归本</v>
      </c>
      <c r="F53" s="4">
        <v>0</v>
      </c>
      <c r="G53" s="4">
        <v>0</v>
      </c>
      <c r="H53" s="4">
        <v>0</v>
      </c>
      <c r="I53" s="4">
        <v>1.8</v>
      </c>
      <c r="J53" s="4">
        <v>6.76</v>
      </c>
      <c r="K53" s="4">
        <v>0</v>
      </c>
      <c r="L53" s="4" t="str">
        <f t="shared" si="0"/>
        <v>人民币</v>
      </c>
      <c r="O53" s="4" t="str">
        <f t="shared" si="1"/>
        <v>300100052893</v>
      </c>
    </row>
    <row r="54" spans="1:15">
      <c r="A54" s="4" t="str">
        <f>"20201218"</f>
        <v>20201218</v>
      </c>
      <c r="B54" s="4" t="str">
        <f>"20201218"</f>
        <v>20201218</v>
      </c>
      <c r="C54" s="4" t="str">
        <f>"基金赎回拨入"</f>
        <v>基金赎回拨入</v>
      </c>
      <c r="D54" s="4" t="str">
        <f>"AA0007"</f>
        <v>AA0007</v>
      </c>
      <c r="E54" s="4" t="str">
        <f>"银河水星1号集合"</f>
        <v>银河水星1号集合</v>
      </c>
      <c r="F54" s="4">
        <v>0</v>
      </c>
      <c r="G54" s="4">
        <v>0</v>
      </c>
      <c r="H54" s="4">
        <v>0</v>
      </c>
      <c r="I54" s="4">
        <v>0.04</v>
      </c>
      <c r="J54" s="4">
        <v>6.8</v>
      </c>
      <c r="K54" s="4">
        <v>0</v>
      </c>
      <c r="L54" s="4" t="str">
        <f t="shared" si="0"/>
        <v>人民币</v>
      </c>
      <c r="N54" s="4" t="str">
        <f>"980149593788"</f>
        <v>980149593788</v>
      </c>
      <c r="O54" s="4" t="str">
        <f t="shared" si="1"/>
        <v>300100052893</v>
      </c>
    </row>
    <row r="55" spans="1:15">
      <c r="A55" s="4" t="str">
        <f>"20201222"</f>
        <v>20201222</v>
      </c>
      <c r="B55" s="4" t="str">
        <f>"0"</f>
        <v>0</v>
      </c>
      <c r="C55" s="4" t="str">
        <f>"基金红利拨入"</f>
        <v>基金红利拨入</v>
      </c>
      <c r="D55" s="4" t="str">
        <f>"AA0007"</f>
        <v>AA0007</v>
      </c>
      <c r="E55" s="4" t="str">
        <f>"银河水星1号"</f>
        <v>银河水星1号</v>
      </c>
      <c r="F55" s="4">
        <v>0</v>
      </c>
      <c r="G55" s="4">
        <v>0</v>
      </c>
      <c r="H55" s="4">
        <v>18.9</v>
      </c>
      <c r="I55" s="4">
        <v>18.9</v>
      </c>
      <c r="J55" s="4">
        <v>25.53</v>
      </c>
      <c r="K55" s="4">
        <v>0</v>
      </c>
      <c r="L55" s="4" t="str">
        <f t="shared" si="0"/>
        <v>人民币</v>
      </c>
      <c r="N55" s="4" t="str">
        <f>"980149593788"</f>
        <v>980149593788</v>
      </c>
      <c r="O55" s="4" t="str">
        <f t="shared" si="1"/>
        <v>300100052893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B64"/>
  <sheetViews>
    <sheetView workbookViewId="0">
      <selection activeCell="A3" sqref="A3:O64"/>
    </sheetView>
  </sheetViews>
  <sheetFormatPr defaultColWidth="9" defaultRowHeight="13.5"/>
  <cols>
    <col min="1" max="16384" width="9" style="4"/>
  </cols>
  <sheetData>
    <row r="2" spans="1:28">
      <c r="A2" s="4" t="str">
        <f>"交收日期"</f>
        <v>交收日期</v>
      </c>
      <c r="B2" s="4" t="str">
        <f>"清算日期"</f>
        <v>清算日期</v>
      </c>
      <c r="C2" s="4" t="str">
        <f>"委托日期"</f>
        <v>委托日期</v>
      </c>
      <c r="D2" s="4" t="str">
        <f>"委托时间"</f>
        <v>委托时间</v>
      </c>
      <c r="E2" s="4" t="str">
        <f>"业务类型"</f>
        <v>业务类型</v>
      </c>
      <c r="F2" s="4" t="str">
        <f>"证券代码"</f>
        <v>证券代码</v>
      </c>
      <c r="G2" s="4" t="str">
        <f>"证券名称"</f>
        <v>证券名称</v>
      </c>
      <c r="H2" s="4" t="str">
        <f>"成交价格"</f>
        <v>成交价格</v>
      </c>
      <c r="I2" s="4" t="str">
        <f>"成交数量"</f>
        <v>成交数量</v>
      </c>
      <c r="J2" s="4" t="str">
        <f>"成交金额"</f>
        <v>成交金额</v>
      </c>
      <c r="K2" s="4" t="str">
        <f>"发生金额"</f>
        <v>发生金额</v>
      </c>
      <c r="L2" s="4" t="str">
        <f>"委托数量"</f>
        <v>委托数量</v>
      </c>
      <c r="M2" s="4" t="str">
        <f>"委托价格(港币)"</f>
        <v>委托价格(港币)</v>
      </c>
      <c r="N2" s="4" t="str">
        <f>"剩余金额"</f>
        <v>剩余金额</v>
      </c>
      <c r="O2" s="4" t="str">
        <f>"证券数量"</f>
        <v>证券数量</v>
      </c>
      <c r="P2" s="4" t="str">
        <f>"印花税"</f>
        <v>印花税</v>
      </c>
      <c r="Q2" s="4" t="str">
        <f>"手续费"</f>
        <v>手续费</v>
      </c>
      <c r="R2" s="4" t="str">
        <f>"股份交收费"</f>
        <v>股份交收费</v>
      </c>
      <c r="S2" s="4" t="str">
        <f>"交易费"</f>
        <v>交易费</v>
      </c>
      <c r="T2" s="4" t="str">
        <f>"前台费"</f>
        <v>前台费</v>
      </c>
      <c r="U2" s="4" t="str">
        <f>"交易系统使用费"</f>
        <v>交易系统使用费</v>
      </c>
      <c r="V2" s="4" t="str">
        <f>"交易征费"</f>
        <v>交易征费</v>
      </c>
      <c r="W2" s="4" t="str">
        <f>"其他费"</f>
        <v>其他费</v>
      </c>
      <c r="X2" s="4" t="str">
        <f>"结算汇率"</f>
        <v>结算汇率</v>
      </c>
      <c r="Y2" s="4" t="str">
        <f>"协议编号"</f>
        <v>协议编号</v>
      </c>
      <c r="Z2" s="4" t="str">
        <f>"成交时间"</f>
        <v>成交时间</v>
      </c>
      <c r="AA2" s="4" t="str">
        <f>"币种"</f>
        <v>币种</v>
      </c>
      <c r="AB2" s="4" t="str">
        <f>"股东代码"</f>
        <v>股东代码</v>
      </c>
    </row>
    <row r="3" spans="1:28">
      <c r="A3" s="4" t="str">
        <f>"20201009"</f>
        <v>20201009</v>
      </c>
      <c r="B3" s="4" t="str">
        <f>"20201009"</f>
        <v>20201009</v>
      </c>
      <c r="C3" s="4" t="str">
        <f t="shared" ref="C3:C7" si="0">"0"</f>
        <v>0</v>
      </c>
      <c r="D3" s="4" t="str">
        <f t="shared" ref="D3:D7" si="1">"00:00:00"</f>
        <v>00:00:00</v>
      </c>
      <c r="E3" s="4" t="str">
        <f t="shared" ref="E3:E7" si="2">"港股通组合费"</f>
        <v>港股通组合费</v>
      </c>
      <c r="F3" s="4" t="str">
        <f t="shared" ref="F3:F7" si="3">""</f>
        <v/>
      </c>
      <c r="G3" s="4" t="str">
        <f t="shared" ref="G3:G7" si="4">""</f>
        <v/>
      </c>
      <c r="H3" s="4" t="str">
        <f t="shared" ref="H3:H7" si="5">"0.00"</f>
        <v>0.00</v>
      </c>
      <c r="I3" s="4" t="str">
        <f t="shared" ref="I3:I7" si="6">"0"</f>
        <v>0</v>
      </c>
      <c r="J3" s="4" t="str">
        <f>"0.31"</f>
        <v>0.31</v>
      </c>
      <c r="K3" s="4" t="str">
        <f>"-0.31"</f>
        <v>-0.31</v>
      </c>
      <c r="L3" s="4" t="str">
        <f t="shared" ref="L3:W3" si="7">"0.00"</f>
        <v>0.00</v>
      </c>
      <c r="M3" s="4" t="str">
        <f t="shared" ref="M3:M7" si="8">"0.000"</f>
        <v>0.000</v>
      </c>
      <c r="N3" s="4" t="str">
        <f>"840.21"</f>
        <v>840.21</v>
      </c>
      <c r="O3" s="4" t="str">
        <f t="shared" ref="O3:O7" si="9">"0"</f>
        <v>0</v>
      </c>
      <c r="P3" s="4" t="str">
        <f t="shared" si="7"/>
        <v>0.00</v>
      </c>
      <c r="Q3" s="4" t="str">
        <f t="shared" si="7"/>
        <v>0.00</v>
      </c>
      <c r="R3" s="4" t="str">
        <f t="shared" si="7"/>
        <v>0.00</v>
      </c>
      <c r="S3" s="4" t="str">
        <f t="shared" si="7"/>
        <v>0.00</v>
      </c>
      <c r="T3" s="4" t="str">
        <f t="shared" si="7"/>
        <v>0.00</v>
      </c>
      <c r="U3" s="4" t="str">
        <f t="shared" si="7"/>
        <v>0.00</v>
      </c>
      <c r="V3" s="4" t="str">
        <f t="shared" si="7"/>
        <v>0.00</v>
      </c>
      <c r="W3" s="4" t="str">
        <f t="shared" si="7"/>
        <v>0.00</v>
      </c>
      <c r="X3" s="4" t="str">
        <f t="shared" ref="X3:X7" si="10">"0.00000"</f>
        <v>0.00000</v>
      </c>
      <c r="Y3" s="4" t="str">
        <f t="shared" ref="Y3:Y7" si="11">"0"</f>
        <v>0</v>
      </c>
      <c r="Z3" s="4" t="str">
        <f t="shared" ref="Z3:Z7" si="12">"0"</f>
        <v>0</v>
      </c>
      <c r="AA3" s="4" t="str">
        <f t="shared" ref="AA3:AA64" si="13">"人民币"</f>
        <v>人民币</v>
      </c>
      <c r="AB3" s="4" t="str">
        <f t="shared" ref="AB3:AB64" si="14">"A368402599"</f>
        <v>A368402599</v>
      </c>
    </row>
    <row r="4" spans="1:28">
      <c r="A4" s="4" t="str">
        <f>"20201012"</f>
        <v>20201012</v>
      </c>
      <c r="B4" s="4" t="str">
        <f>"20201012"</f>
        <v>20201012</v>
      </c>
      <c r="C4" s="4" t="str">
        <f t="shared" si="0"/>
        <v>0</v>
      </c>
      <c r="D4" s="4" t="str">
        <f t="shared" si="1"/>
        <v>00:00:00</v>
      </c>
      <c r="E4" s="4" t="str">
        <f t="shared" si="2"/>
        <v>港股通组合费</v>
      </c>
      <c r="F4" s="4" t="str">
        <f t="shared" si="3"/>
        <v/>
      </c>
      <c r="G4" s="4" t="str">
        <f t="shared" si="4"/>
        <v/>
      </c>
      <c r="H4" s="4" t="str">
        <f t="shared" si="5"/>
        <v>0.00</v>
      </c>
      <c r="I4" s="4" t="str">
        <f t="shared" si="6"/>
        <v>0</v>
      </c>
      <c r="J4" s="4" t="str">
        <f>"0.10"</f>
        <v>0.10</v>
      </c>
      <c r="K4" s="4" t="str">
        <f>"-0.10"</f>
        <v>-0.10</v>
      </c>
      <c r="L4" s="4" t="str">
        <f t="shared" ref="L4:W4" si="15">"0.00"</f>
        <v>0.00</v>
      </c>
      <c r="M4" s="4" t="str">
        <f t="shared" si="8"/>
        <v>0.000</v>
      </c>
      <c r="N4" s="4" t="str">
        <f>"840.11"</f>
        <v>840.11</v>
      </c>
      <c r="O4" s="4" t="str">
        <f t="shared" si="9"/>
        <v>0</v>
      </c>
      <c r="P4" s="4" t="str">
        <f t="shared" si="15"/>
        <v>0.00</v>
      </c>
      <c r="Q4" s="4" t="str">
        <f t="shared" si="15"/>
        <v>0.00</v>
      </c>
      <c r="R4" s="4" t="str">
        <f t="shared" si="15"/>
        <v>0.00</v>
      </c>
      <c r="S4" s="4" t="str">
        <f t="shared" si="15"/>
        <v>0.00</v>
      </c>
      <c r="T4" s="4" t="str">
        <f t="shared" si="15"/>
        <v>0.00</v>
      </c>
      <c r="U4" s="4" t="str">
        <f t="shared" si="15"/>
        <v>0.00</v>
      </c>
      <c r="V4" s="4" t="str">
        <f t="shared" si="15"/>
        <v>0.00</v>
      </c>
      <c r="W4" s="4" t="str">
        <f t="shared" si="15"/>
        <v>0.00</v>
      </c>
      <c r="X4" s="4" t="str">
        <f t="shared" si="10"/>
        <v>0.00000</v>
      </c>
      <c r="Y4" s="4" t="str">
        <f t="shared" si="11"/>
        <v>0</v>
      </c>
      <c r="Z4" s="4" t="str">
        <f t="shared" si="12"/>
        <v>0</v>
      </c>
      <c r="AA4" s="4" t="str">
        <f t="shared" si="13"/>
        <v>人民币</v>
      </c>
      <c r="AB4" s="4" t="str">
        <f t="shared" si="14"/>
        <v>A368402599</v>
      </c>
    </row>
    <row r="5" spans="1:28">
      <c r="A5" s="4" t="str">
        <f>"20201013"</f>
        <v>20201013</v>
      </c>
      <c r="B5" s="4" t="str">
        <f>"20201013"</f>
        <v>20201013</v>
      </c>
      <c r="C5" s="4" t="str">
        <f t="shared" si="0"/>
        <v>0</v>
      </c>
      <c r="D5" s="4" t="str">
        <f t="shared" si="1"/>
        <v>00:00:00</v>
      </c>
      <c r="E5" s="4" t="str">
        <f t="shared" si="2"/>
        <v>港股通组合费</v>
      </c>
      <c r="F5" s="4" t="str">
        <f t="shared" si="3"/>
        <v/>
      </c>
      <c r="G5" s="4" t="str">
        <f t="shared" si="4"/>
        <v/>
      </c>
      <c r="H5" s="4" t="str">
        <f t="shared" si="5"/>
        <v>0.00</v>
      </c>
      <c r="I5" s="4" t="str">
        <f t="shared" si="6"/>
        <v>0</v>
      </c>
      <c r="J5" s="4" t="str">
        <f t="shared" ref="J5:J7" si="16">"0.03"</f>
        <v>0.03</v>
      </c>
      <c r="K5" s="4" t="str">
        <f t="shared" ref="K5:K7" si="17">"-0.03"</f>
        <v>-0.03</v>
      </c>
      <c r="L5" s="4" t="str">
        <f t="shared" ref="L5:W5" si="18">"0.00"</f>
        <v>0.00</v>
      </c>
      <c r="M5" s="4" t="str">
        <f t="shared" si="8"/>
        <v>0.000</v>
      </c>
      <c r="N5" s="4" t="str">
        <f>"840.08"</f>
        <v>840.08</v>
      </c>
      <c r="O5" s="4" t="str">
        <f t="shared" si="9"/>
        <v>0</v>
      </c>
      <c r="P5" s="4" t="str">
        <f t="shared" si="18"/>
        <v>0.00</v>
      </c>
      <c r="Q5" s="4" t="str">
        <f t="shared" si="18"/>
        <v>0.00</v>
      </c>
      <c r="R5" s="4" t="str">
        <f t="shared" si="18"/>
        <v>0.00</v>
      </c>
      <c r="S5" s="4" t="str">
        <f t="shared" si="18"/>
        <v>0.00</v>
      </c>
      <c r="T5" s="4" t="str">
        <f t="shared" si="18"/>
        <v>0.00</v>
      </c>
      <c r="U5" s="4" t="str">
        <f t="shared" si="18"/>
        <v>0.00</v>
      </c>
      <c r="V5" s="4" t="str">
        <f t="shared" si="18"/>
        <v>0.00</v>
      </c>
      <c r="W5" s="4" t="str">
        <f t="shared" si="18"/>
        <v>0.00</v>
      </c>
      <c r="X5" s="4" t="str">
        <f t="shared" si="10"/>
        <v>0.00000</v>
      </c>
      <c r="Y5" s="4" t="str">
        <f t="shared" si="11"/>
        <v>0</v>
      </c>
      <c r="Z5" s="4" t="str">
        <f t="shared" si="12"/>
        <v>0</v>
      </c>
      <c r="AA5" s="4" t="str">
        <f t="shared" si="13"/>
        <v>人民币</v>
      </c>
      <c r="AB5" s="4" t="str">
        <f t="shared" si="14"/>
        <v>A368402599</v>
      </c>
    </row>
    <row r="6" spans="1:28">
      <c r="A6" s="4" t="str">
        <f>"20201014"</f>
        <v>20201014</v>
      </c>
      <c r="B6" s="4" t="str">
        <f>"20201014"</f>
        <v>20201014</v>
      </c>
      <c r="C6" s="4" t="str">
        <f t="shared" si="0"/>
        <v>0</v>
      </c>
      <c r="D6" s="4" t="str">
        <f t="shared" si="1"/>
        <v>00:00:00</v>
      </c>
      <c r="E6" s="4" t="str">
        <f t="shared" si="2"/>
        <v>港股通组合费</v>
      </c>
      <c r="F6" s="4" t="str">
        <f t="shared" si="3"/>
        <v/>
      </c>
      <c r="G6" s="4" t="str">
        <f t="shared" si="4"/>
        <v/>
      </c>
      <c r="H6" s="4" t="str">
        <f t="shared" si="5"/>
        <v>0.00</v>
      </c>
      <c r="I6" s="4" t="str">
        <f t="shared" si="6"/>
        <v>0</v>
      </c>
      <c r="J6" s="4" t="str">
        <f t="shared" si="16"/>
        <v>0.03</v>
      </c>
      <c r="K6" s="4" t="str">
        <f t="shared" si="17"/>
        <v>-0.03</v>
      </c>
      <c r="L6" s="4" t="str">
        <f t="shared" ref="L6:W6" si="19">"0.00"</f>
        <v>0.00</v>
      </c>
      <c r="M6" s="4" t="str">
        <f t="shared" si="8"/>
        <v>0.000</v>
      </c>
      <c r="N6" s="4" t="str">
        <f>"27246.47"</f>
        <v>27246.47</v>
      </c>
      <c r="O6" s="4" t="str">
        <f t="shared" si="9"/>
        <v>0</v>
      </c>
      <c r="P6" s="4" t="str">
        <f t="shared" si="19"/>
        <v>0.00</v>
      </c>
      <c r="Q6" s="4" t="str">
        <f t="shared" si="19"/>
        <v>0.00</v>
      </c>
      <c r="R6" s="4" t="str">
        <f t="shared" si="19"/>
        <v>0.00</v>
      </c>
      <c r="S6" s="4" t="str">
        <f t="shared" si="19"/>
        <v>0.00</v>
      </c>
      <c r="T6" s="4" t="str">
        <f t="shared" si="19"/>
        <v>0.00</v>
      </c>
      <c r="U6" s="4" t="str">
        <f t="shared" si="19"/>
        <v>0.00</v>
      </c>
      <c r="V6" s="4" t="str">
        <f t="shared" si="19"/>
        <v>0.00</v>
      </c>
      <c r="W6" s="4" t="str">
        <f t="shared" si="19"/>
        <v>0.00</v>
      </c>
      <c r="X6" s="4" t="str">
        <f t="shared" si="10"/>
        <v>0.00000</v>
      </c>
      <c r="Y6" s="4" t="str">
        <f t="shared" si="11"/>
        <v>0</v>
      </c>
      <c r="Z6" s="4" t="str">
        <f t="shared" si="12"/>
        <v>0</v>
      </c>
      <c r="AA6" s="4" t="str">
        <f t="shared" si="13"/>
        <v>人民币</v>
      </c>
      <c r="AB6" s="4" t="str">
        <f t="shared" si="14"/>
        <v>A368402599</v>
      </c>
    </row>
    <row r="7" spans="1:28">
      <c r="A7" s="4" t="str">
        <f>"20201015"</f>
        <v>20201015</v>
      </c>
      <c r="B7" s="4" t="str">
        <f>"20201015"</f>
        <v>20201015</v>
      </c>
      <c r="C7" s="4" t="str">
        <f t="shared" si="0"/>
        <v>0</v>
      </c>
      <c r="D7" s="4" t="str">
        <f t="shared" si="1"/>
        <v>00:00:00</v>
      </c>
      <c r="E7" s="4" t="str">
        <f t="shared" si="2"/>
        <v>港股通组合费</v>
      </c>
      <c r="F7" s="4" t="str">
        <f t="shared" si="3"/>
        <v/>
      </c>
      <c r="G7" s="4" t="str">
        <f t="shared" si="4"/>
        <v/>
      </c>
      <c r="H7" s="4" t="str">
        <f t="shared" si="5"/>
        <v>0.00</v>
      </c>
      <c r="I7" s="4" t="str">
        <f t="shared" si="6"/>
        <v>0</v>
      </c>
      <c r="J7" s="4" t="str">
        <f t="shared" si="16"/>
        <v>0.03</v>
      </c>
      <c r="K7" s="4" t="str">
        <f t="shared" si="17"/>
        <v>-0.03</v>
      </c>
      <c r="L7" s="4" t="str">
        <f t="shared" ref="L7:W7" si="20">"0.00"</f>
        <v>0.00</v>
      </c>
      <c r="M7" s="4" t="str">
        <f t="shared" si="8"/>
        <v>0.000</v>
      </c>
      <c r="N7" s="4" t="str">
        <f>"27246.44"</f>
        <v>27246.44</v>
      </c>
      <c r="O7" s="4" t="str">
        <f t="shared" si="9"/>
        <v>0</v>
      </c>
      <c r="P7" s="4" t="str">
        <f t="shared" si="20"/>
        <v>0.00</v>
      </c>
      <c r="Q7" s="4" t="str">
        <f t="shared" si="20"/>
        <v>0.00</v>
      </c>
      <c r="R7" s="4" t="str">
        <f t="shared" si="20"/>
        <v>0.00</v>
      </c>
      <c r="S7" s="4" t="str">
        <f t="shared" si="20"/>
        <v>0.00</v>
      </c>
      <c r="T7" s="4" t="str">
        <f t="shared" si="20"/>
        <v>0.00</v>
      </c>
      <c r="U7" s="4" t="str">
        <f t="shared" si="20"/>
        <v>0.00</v>
      </c>
      <c r="V7" s="4" t="str">
        <f t="shared" si="20"/>
        <v>0.00</v>
      </c>
      <c r="W7" s="4" t="str">
        <f t="shared" si="20"/>
        <v>0.00</v>
      </c>
      <c r="X7" s="4" t="str">
        <f t="shared" si="10"/>
        <v>0.00000</v>
      </c>
      <c r="Y7" s="4" t="str">
        <f t="shared" si="11"/>
        <v>0</v>
      </c>
      <c r="Z7" s="4" t="str">
        <f t="shared" si="12"/>
        <v>0</v>
      </c>
      <c r="AA7" s="4" t="str">
        <f t="shared" si="13"/>
        <v>人民币</v>
      </c>
      <c r="AB7" s="4" t="str">
        <f t="shared" si="14"/>
        <v>A368402599</v>
      </c>
    </row>
    <row r="8" spans="1:28">
      <c r="A8" s="4" t="str">
        <f>"20201016"</f>
        <v>20201016</v>
      </c>
      <c r="B8" s="4" t="str">
        <f>"20201014"</f>
        <v>20201014</v>
      </c>
      <c r="C8" s="4" t="str">
        <f>"20201014"</f>
        <v>20201014</v>
      </c>
      <c r="D8" s="4" t="str">
        <f>"13:35:37"</f>
        <v>13:35:37</v>
      </c>
      <c r="E8" s="4" t="str">
        <f>"港股通股票买入"</f>
        <v>港股通股票买入</v>
      </c>
      <c r="F8" s="4" t="str">
        <f>"00386"</f>
        <v>00386</v>
      </c>
      <c r="G8" s="4" t="str">
        <f>"中国石油"</f>
        <v>中国石油</v>
      </c>
      <c r="H8" s="4" t="str">
        <f>"2.64"</f>
        <v>2.64</v>
      </c>
      <c r="I8" s="4" t="str">
        <f>"10000"</f>
        <v>10000</v>
      </c>
      <c r="J8" s="4" t="str">
        <f>"26408.48"</f>
        <v>26408.48</v>
      </c>
      <c r="K8" s="4" t="str">
        <f>"-26452.81"</f>
        <v>-26452.81</v>
      </c>
      <c r="L8" s="4" t="str">
        <f>"10000.00"</f>
        <v>10000.00</v>
      </c>
      <c r="M8" s="4" t="str">
        <f>"3.040"</f>
        <v>3.040</v>
      </c>
      <c r="N8" s="4" t="str">
        <f>"793.63"</f>
        <v>793.63</v>
      </c>
      <c r="O8" s="4" t="str">
        <f>"64000"</f>
        <v>64000</v>
      </c>
      <c r="P8" s="4" t="str">
        <f>"26.92"</f>
        <v>26.92</v>
      </c>
      <c r="Q8" s="4" t="str">
        <f>"13.20"</f>
        <v>13.20</v>
      </c>
      <c r="R8" s="4" t="str">
        <f>"1.73"</f>
        <v>1.73</v>
      </c>
      <c r="S8" s="4" t="str">
        <f>"1.32"</f>
        <v>1.32</v>
      </c>
      <c r="T8" s="4" t="str">
        <f>"0.00"</f>
        <v>0.00</v>
      </c>
      <c r="U8" s="4" t="str">
        <f>"0.43"</f>
        <v>0.43</v>
      </c>
      <c r="V8" s="4" t="str">
        <f>"0.71"</f>
        <v>0.71</v>
      </c>
      <c r="W8" s="4" t="str">
        <f>"0.02"</f>
        <v>0.02</v>
      </c>
      <c r="X8" s="4" t="str">
        <f>"0.86870"</f>
        <v>0.86870</v>
      </c>
      <c r="Y8" s="4" t="str">
        <f>"386000003416"</f>
        <v>386000003416</v>
      </c>
      <c r="Z8" s="4" t="str">
        <f>"134108"</f>
        <v>134108</v>
      </c>
      <c r="AA8" s="4" t="str">
        <f t="shared" si="13"/>
        <v>人民币</v>
      </c>
      <c r="AB8" s="4" t="str">
        <f t="shared" si="14"/>
        <v>A368402599</v>
      </c>
    </row>
    <row r="9" spans="1:28">
      <c r="A9" s="4" t="str">
        <f>"20201016"</f>
        <v>20201016</v>
      </c>
      <c r="B9" s="4" t="str">
        <f>"20201016"</f>
        <v>20201016</v>
      </c>
      <c r="C9" s="4" t="str">
        <f t="shared" ref="C9:C23" si="21">"0"</f>
        <v>0</v>
      </c>
      <c r="D9" s="4" t="str">
        <f t="shared" ref="D9:D27" si="22">"00:00:00"</f>
        <v>00:00:00</v>
      </c>
      <c r="E9" s="4" t="str">
        <f t="shared" ref="E9:E23" si="23">"港股通组合费"</f>
        <v>港股通组合费</v>
      </c>
      <c r="F9" s="4" t="str">
        <f t="shared" ref="F9:F23" si="24">""</f>
        <v/>
      </c>
      <c r="G9" s="4" t="str">
        <f t="shared" ref="G9:G23" si="25">""</f>
        <v/>
      </c>
      <c r="H9" s="4" t="str">
        <f t="shared" ref="H9:H23" si="26">"0.00"</f>
        <v>0.00</v>
      </c>
      <c r="I9" s="4" t="str">
        <f t="shared" ref="I9:I23" si="27">"0"</f>
        <v>0</v>
      </c>
      <c r="J9" s="4" t="str">
        <f>"0.03"</f>
        <v>0.03</v>
      </c>
      <c r="K9" s="4" t="str">
        <f>"-0.03"</f>
        <v>-0.03</v>
      </c>
      <c r="L9" s="4" t="str">
        <f t="shared" ref="L9:W9" si="28">"0.00"</f>
        <v>0.00</v>
      </c>
      <c r="M9" s="4" t="str">
        <f t="shared" ref="M9:M27" si="29">"0.000"</f>
        <v>0.000</v>
      </c>
      <c r="N9" s="4" t="str">
        <f>"793.60"</f>
        <v>793.60</v>
      </c>
      <c r="O9" s="4" t="str">
        <f t="shared" ref="O9:O23" si="30">"0"</f>
        <v>0</v>
      </c>
      <c r="P9" s="4" t="str">
        <f t="shared" si="28"/>
        <v>0.00</v>
      </c>
      <c r="Q9" s="4" t="str">
        <f t="shared" si="28"/>
        <v>0.00</v>
      </c>
      <c r="R9" s="4" t="str">
        <f t="shared" si="28"/>
        <v>0.00</v>
      </c>
      <c r="S9" s="4" t="str">
        <f t="shared" si="28"/>
        <v>0.00</v>
      </c>
      <c r="T9" s="4" t="str">
        <f t="shared" si="28"/>
        <v>0.00</v>
      </c>
      <c r="U9" s="4" t="str">
        <f t="shared" si="28"/>
        <v>0.00</v>
      </c>
      <c r="V9" s="4" t="str">
        <f t="shared" si="28"/>
        <v>0.00</v>
      </c>
      <c r="W9" s="4" t="str">
        <f t="shared" si="28"/>
        <v>0.00</v>
      </c>
      <c r="X9" s="4" t="str">
        <f t="shared" ref="X9:X23" si="31">"0.00000"</f>
        <v>0.00000</v>
      </c>
      <c r="Y9" s="4" t="str">
        <f t="shared" ref="Y9:Y23" si="32">"0"</f>
        <v>0</v>
      </c>
      <c r="Z9" s="4" t="str">
        <f t="shared" ref="Z9:Z27" si="33">"0"</f>
        <v>0</v>
      </c>
      <c r="AA9" s="4" t="str">
        <f t="shared" si="13"/>
        <v>人民币</v>
      </c>
      <c r="AB9" s="4" t="str">
        <f t="shared" si="14"/>
        <v>A368402599</v>
      </c>
    </row>
    <row r="10" spans="1:28">
      <c r="A10" s="4" t="str">
        <f>"20201019"</f>
        <v>20201019</v>
      </c>
      <c r="B10" s="4" t="str">
        <f>"20201019"</f>
        <v>20201019</v>
      </c>
      <c r="C10" s="4" t="str">
        <f t="shared" si="21"/>
        <v>0</v>
      </c>
      <c r="D10" s="4" t="str">
        <f t="shared" si="22"/>
        <v>00:00:00</v>
      </c>
      <c r="E10" s="4" t="str">
        <f t="shared" si="23"/>
        <v>港股通组合费</v>
      </c>
      <c r="F10" s="4" t="str">
        <f t="shared" si="24"/>
        <v/>
      </c>
      <c r="G10" s="4" t="str">
        <f t="shared" si="25"/>
        <v/>
      </c>
      <c r="H10" s="4" t="str">
        <f t="shared" si="26"/>
        <v>0.00</v>
      </c>
      <c r="I10" s="4" t="str">
        <f t="shared" si="27"/>
        <v>0</v>
      </c>
      <c r="J10" s="4" t="str">
        <f>"0.13"</f>
        <v>0.13</v>
      </c>
      <c r="K10" s="4" t="str">
        <f>"-0.13"</f>
        <v>-0.13</v>
      </c>
      <c r="L10" s="4" t="str">
        <f t="shared" ref="L10:W10" si="34">"0.00"</f>
        <v>0.00</v>
      </c>
      <c r="M10" s="4" t="str">
        <f t="shared" si="29"/>
        <v>0.000</v>
      </c>
      <c r="N10" s="4" t="str">
        <f>"4.87"</f>
        <v>4.87</v>
      </c>
      <c r="O10" s="4" t="str">
        <f t="shared" si="30"/>
        <v>0</v>
      </c>
      <c r="P10" s="4" t="str">
        <f t="shared" si="34"/>
        <v>0.00</v>
      </c>
      <c r="Q10" s="4" t="str">
        <f t="shared" si="34"/>
        <v>0.00</v>
      </c>
      <c r="R10" s="4" t="str">
        <f t="shared" si="34"/>
        <v>0.00</v>
      </c>
      <c r="S10" s="4" t="str">
        <f t="shared" si="34"/>
        <v>0.00</v>
      </c>
      <c r="T10" s="4" t="str">
        <f t="shared" si="34"/>
        <v>0.00</v>
      </c>
      <c r="U10" s="4" t="str">
        <f t="shared" si="34"/>
        <v>0.00</v>
      </c>
      <c r="V10" s="4" t="str">
        <f t="shared" si="34"/>
        <v>0.00</v>
      </c>
      <c r="W10" s="4" t="str">
        <f t="shared" si="34"/>
        <v>0.00</v>
      </c>
      <c r="X10" s="4" t="str">
        <f t="shared" si="31"/>
        <v>0.00000</v>
      </c>
      <c r="Y10" s="4" t="str">
        <f t="shared" si="32"/>
        <v>0</v>
      </c>
      <c r="Z10" s="4" t="str">
        <f t="shared" si="33"/>
        <v>0</v>
      </c>
      <c r="AA10" s="4" t="str">
        <f t="shared" si="13"/>
        <v>人民币</v>
      </c>
      <c r="AB10" s="4" t="str">
        <f t="shared" si="14"/>
        <v>A368402599</v>
      </c>
    </row>
    <row r="11" spans="1:28">
      <c r="A11" s="4" t="str">
        <f>"20201020"</f>
        <v>20201020</v>
      </c>
      <c r="B11" s="4" t="str">
        <f>"20201020"</f>
        <v>20201020</v>
      </c>
      <c r="C11" s="4" t="str">
        <f t="shared" si="21"/>
        <v>0</v>
      </c>
      <c r="D11" s="4" t="str">
        <f t="shared" si="22"/>
        <v>00:00:00</v>
      </c>
      <c r="E11" s="4" t="str">
        <f t="shared" si="23"/>
        <v>港股通组合费</v>
      </c>
      <c r="F11" s="4" t="str">
        <f t="shared" si="24"/>
        <v/>
      </c>
      <c r="G11" s="4" t="str">
        <f t="shared" si="25"/>
        <v/>
      </c>
      <c r="H11" s="4" t="str">
        <f t="shared" si="26"/>
        <v>0.00</v>
      </c>
      <c r="I11" s="4" t="str">
        <f t="shared" si="27"/>
        <v>0</v>
      </c>
      <c r="J11" s="4" t="str">
        <f t="shared" ref="J11:J14" si="35">"0.04"</f>
        <v>0.04</v>
      </c>
      <c r="K11" s="4" t="str">
        <f t="shared" ref="K11:K14" si="36">"-0.04"</f>
        <v>-0.04</v>
      </c>
      <c r="L11" s="4" t="str">
        <f t="shared" ref="L11:W11" si="37">"0.00"</f>
        <v>0.00</v>
      </c>
      <c r="M11" s="4" t="str">
        <f t="shared" si="29"/>
        <v>0.000</v>
      </c>
      <c r="N11" s="4" t="str">
        <f t="shared" ref="N11:N14" si="38">"4.96"</f>
        <v>4.96</v>
      </c>
      <c r="O11" s="4" t="str">
        <f t="shared" si="30"/>
        <v>0</v>
      </c>
      <c r="P11" s="4" t="str">
        <f t="shared" si="37"/>
        <v>0.00</v>
      </c>
      <c r="Q11" s="4" t="str">
        <f t="shared" si="37"/>
        <v>0.00</v>
      </c>
      <c r="R11" s="4" t="str">
        <f t="shared" si="37"/>
        <v>0.00</v>
      </c>
      <c r="S11" s="4" t="str">
        <f t="shared" si="37"/>
        <v>0.00</v>
      </c>
      <c r="T11" s="4" t="str">
        <f t="shared" si="37"/>
        <v>0.00</v>
      </c>
      <c r="U11" s="4" t="str">
        <f t="shared" si="37"/>
        <v>0.00</v>
      </c>
      <c r="V11" s="4" t="str">
        <f t="shared" si="37"/>
        <v>0.00</v>
      </c>
      <c r="W11" s="4" t="str">
        <f t="shared" si="37"/>
        <v>0.00</v>
      </c>
      <c r="X11" s="4" t="str">
        <f t="shared" si="31"/>
        <v>0.00000</v>
      </c>
      <c r="Y11" s="4" t="str">
        <f t="shared" si="32"/>
        <v>0</v>
      </c>
      <c r="Z11" s="4" t="str">
        <f t="shared" si="33"/>
        <v>0</v>
      </c>
      <c r="AA11" s="4" t="str">
        <f t="shared" si="13"/>
        <v>人民币</v>
      </c>
      <c r="AB11" s="4" t="str">
        <f t="shared" si="14"/>
        <v>A368402599</v>
      </c>
    </row>
    <row r="12" spans="1:28">
      <c r="A12" s="4" t="str">
        <f>"20201021"</f>
        <v>20201021</v>
      </c>
      <c r="B12" s="4" t="str">
        <f>"20201021"</f>
        <v>20201021</v>
      </c>
      <c r="C12" s="4" t="str">
        <f t="shared" si="21"/>
        <v>0</v>
      </c>
      <c r="D12" s="4" t="str">
        <f t="shared" si="22"/>
        <v>00:00:00</v>
      </c>
      <c r="E12" s="4" t="str">
        <f t="shared" si="23"/>
        <v>港股通组合费</v>
      </c>
      <c r="F12" s="4" t="str">
        <f t="shared" si="24"/>
        <v/>
      </c>
      <c r="G12" s="4" t="str">
        <f t="shared" si="25"/>
        <v/>
      </c>
      <c r="H12" s="4" t="str">
        <f t="shared" si="26"/>
        <v>0.00</v>
      </c>
      <c r="I12" s="4" t="str">
        <f t="shared" si="27"/>
        <v>0</v>
      </c>
      <c r="J12" s="4" t="str">
        <f t="shared" si="35"/>
        <v>0.04</v>
      </c>
      <c r="K12" s="4" t="str">
        <f t="shared" si="36"/>
        <v>-0.04</v>
      </c>
      <c r="L12" s="4" t="str">
        <f t="shared" ref="L12:W12" si="39">"0.00"</f>
        <v>0.00</v>
      </c>
      <c r="M12" s="4" t="str">
        <f t="shared" si="29"/>
        <v>0.000</v>
      </c>
      <c r="N12" s="4" t="str">
        <f t="shared" si="38"/>
        <v>4.96</v>
      </c>
      <c r="O12" s="4" t="str">
        <f t="shared" si="30"/>
        <v>0</v>
      </c>
      <c r="P12" s="4" t="str">
        <f t="shared" si="39"/>
        <v>0.00</v>
      </c>
      <c r="Q12" s="4" t="str">
        <f t="shared" si="39"/>
        <v>0.00</v>
      </c>
      <c r="R12" s="4" t="str">
        <f t="shared" si="39"/>
        <v>0.00</v>
      </c>
      <c r="S12" s="4" t="str">
        <f t="shared" si="39"/>
        <v>0.00</v>
      </c>
      <c r="T12" s="4" t="str">
        <f t="shared" si="39"/>
        <v>0.00</v>
      </c>
      <c r="U12" s="4" t="str">
        <f t="shared" si="39"/>
        <v>0.00</v>
      </c>
      <c r="V12" s="4" t="str">
        <f t="shared" si="39"/>
        <v>0.00</v>
      </c>
      <c r="W12" s="4" t="str">
        <f t="shared" si="39"/>
        <v>0.00</v>
      </c>
      <c r="X12" s="4" t="str">
        <f t="shared" si="31"/>
        <v>0.00000</v>
      </c>
      <c r="Y12" s="4" t="str">
        <f t="shared" si="32"/>
        <v>0</v>
      </c>
      <c r="Z12" s="4" t="str">
        <f t="shared" si="33"/>
        <v>0</v>
      </c>
      <c r="AA12" s="4" t="str">
        <f t="shared" si="13"/>
        <v>人民币</v>
      </c>
      <c r="AB12" s="4" t="str">
        <f t="shared" si="14"/>
        <v>A368402599</v>
      </c>
    </row>
    <row r="13" spans="1:28">
      <c r="A13" s="4" t="str">
        <f>"20201022"</f>
        <v>20201022</v>
      </c>
      <c r="B13" s="4" t="str">
        <f>"20201022"</f>
        <v>20201022</v>
      </c>
      <c r="C13" s="4" t="str">
        <f t="shared" si="21"/>
        <v>0</v>
      </c>
      <c r="D13" s="4" t="str">
        <f t="shared" si="22"/>
        <v>00:00:00</v>
      </c>
      <c r="E13" s="4" t="str">
        <f t="shared" si="23"/>
        <v>港股通组合费</v>
      </c>
      <c r="F13" s="4" t="str">
        <f t="shared" si="24"/>
        <v/>
      </c>
      <c r="G13" s="4" t="str">
        <f t="shared" si="25"/>
        <v/>
      </c>
      <c r="H13" s="4" t="str">
        <f t="shared" si="26"/>
        <v>0.00</v>
      </c>
      <c r="I13" s="4" t="str">
        <f t="shared" si="27"/>
        <v>0</v>
      </c>
      <c r="J13" s="4" t="str">
        <f t="shared" si="35"/>
        <v>0.04</v>
      </c>
      <c r="K13" s="4" t="str">
        <f t="shared" si="36"/>
        <v>-0.04</v>
      </c>
      <c r="L13" s="4" t="str">
        <f t="shared" ref="L13:W13" si="40">"0.00"</f>
        <v>0.00</v>
      </c>
      <c r="M13" s="4" t="str">
        <f t="shared" si="29"/>
        <v>0.000</v>
      </c>
      <c r="N13" s="4" t="str">
        <f t="shared" si="38"/>
        <v>4.96</v>
      </c>
      <c r="O13" s="4" t="str">
        <f t="shared" si="30"/>
        <v>0</v>
      </c>
      <c r="P13" s="4" t="str">
        <f t="shared" si="40"/>
        <v>0.00</v>
      </c>
      <c r="Q13" s="4" t="str">
        <f t="shared" si="40"/>
        <v>0.00</v>
      </c>
      <c r="R13" s="4" t="str">
        <f t="shared" si="40"/>
        <v>0.00</v>
      </c>
      <c r="S13" s="4" t="str">
        <f t="shared" si="40"/>
        <v>0.00</v>
      </c>
      <c r="T13" s="4" t="str">
        <f t="shared" si="40"/>
        <v>0.00</v>
      </c>
      <c r="U13" s="4" t="str">
        <f t="shared" si="40"/>
        <v>0.00</v>
      </c>
      <c r="V13" s="4" t="str">
        <f t="shared" si="40"/>
        <v>0.00</v>
      </c>
      <c r="W13" s="4" t="str">
        <f t="shared" si="40"/>
        <v>0.00</v>
      </c>
      <c r="X13" s="4" t="str">
        <f t="shared" si="31"/>
        <v>0.00000</v>
      </c>
      <c r="Y13" s="4" t="str">
        <f t="shared" si="32"/>
        <v>0</v>
      </c>
      <c r="Z13" s="4" t="str">
        <f t="shared" si="33"/>
        <v>0</v>
      </c>
      <c r="AA13" s="4" t="str">
        <f t="shared" si="13"/>
        <v>人民币</v>
      </c>
      <c r="AB13" s="4" t="str">
        <f t="shared" si="14"/>
        <v>A368402599</v>
      </c>
    </row>
    <row r="14" spans="1:28">
      <c r="A14" s="4" t="str">
        <f>"20201023"</f>
        <v>20201023</v>
      </c>
      <c r="B14" s="4" t="str">
        <f>"20201023"</f>
        <v>20201023</v>
      </c>
      <c r="C14" s="4" t="str">
        <f t="shared" si="21"/>
        <v>0</v>
      </c>
      <c r="D14" s="4" t="str">
        <f t="shared" si="22"/>
        <v>00:00:00</v>
      </c>
      <c r="E14" s="4" t="str">
        <f t="shared" si="23"/>
        <v>港股通组合费</v>
      </c>
      <c r="F14" s="4" t="str">
        <f t="shared" si="24"/>
        <v/>
      </c>
      <c r="G14" s="4" t="str">
        <f t="shared" si="25"/>
        <v/>
      </c>
      <c r="H14" s="4" t="str">
        <f t="shared" si="26"/>
        <v>0.00</v>
      </c>
      <c r="I14" s="4" t="str">
        <f t="shared" si="27"/>
        <v>0</v>
      </c>
      <c r="J14" s="4" t="str">
        <f t="shared" si="35"/>
        <v>0.04</v>
      </c>
      <c r="K14" s="4" t="str">
        <f t="shared" si="36"/>
        <v>-0.04</v>
      </c>
      <c r="L14" s="4" t="str">
        <f t="shared" ref="L14:W14" si="41">"0.00"</f>
        <v>0.00</v>
      </c>
      <c r="M14" s="4" t="str">
        <f t="shared" si="29"/>
        <v>0.000</v>
      </c>
      <c r="N14" s="4" t="str">
        <f t="shared" si="38"/>
        <v>4.96</v>
      </c>
      <c r="O14" s="4" t="str">
        <f t="shared" si="30"/>
        <v>0</v>
      </c>
      <c r="P14" s="4" t="str">
        <f t="shared" si="41"/>
        <v>0.00</v>
      </c>
      <c r="Q14" s="4" t="str">
        <f t="shared" si="41"/>
        <v>0.00</v>
      </c>
      <c r="R14" s="4" t="str">
        <f t="shared" si="41"/>
        <v>0.00</v>
      </c>
      <c r="S14" s="4" t="str">
        <f t="shared" si="41"/>
        <v>0.00</v>
      </c>
      <c r="T14" s="4" t="str">
        <f t="shared" si="41"/>
        <v>0.00</v>
      </c>
      <c r="U14" s="4" t="str">
        <f t="shared" si="41"/>
        <v>0.00</v>
      </c>
      <c r="V14" s="4" t="str">
        <f t="shared" si="41"/>
        <v>0.00</v>
      </c>
      <c r="W14" s="4" t="str">
        <f t="shared" si="41"/>
        <v>0.00</v>
      </c>
      <c r="X14" s="4" t="str">
        <f t="shared" si="31"/>
        <v>0.00000</v>
      </c>
      <c r="Y14" s="4" t="str">
        <f t="shared" si="32"/>
        <v>0</v>
      </c>
      <c r="Z14" s="4" t="str">
        <f t="shared" si="33"/>
        <v>0</v>
      </c>
      <c r="AA14" s="4" t="str">
        <f t="shared" si="13"/>
        <v>人民币</v>
      </c>
      <c r="AB14" s="4" t="str">
        <f t="shared" si="14"/>
        <v>A368402599</v>
      </c>
    </row>
    <row r="15" spans="1:28">
      <c r="A15" s="4" t="str">
        <f>"20201027"</f>
        <v>20201027</v>
      </c>
      <c r="B15" s="4" t="str">
        <f>"20201027"</f>
        <v>20201027</v>
      </c>
      <c r="C15" s="4" t="str">
        <f t="shared" si="21"/>
        <v>0</v>
      </c>
      <c r="D15" s="4" t="str">
        <f t="shared" si="22"/>
        <v>00:00:00</v>
      </c>
      <c r="E15" s="4" t="str">
        <f t="shared" si="23"/>
        <v>港股通组合费</v>
      </c>
      <c r="F15" s="4" t="str">
        <f t="shared" si="24"/>
        <v/>
      </c>
      <c r="G15" s="4" t="str">
        <f t="shared" si="25"/>
        <v/>
      </c>
      <c r="H15" s="4" t="str">
        <f t="shared" si="26"/>
        <v>0.00</v>
      </c>
      <c r="I15" s="4" t="str">
        <f t="shared" si="27"/>
        <v>0</v>
      </c>
      <c r="J15" s="4" t="str">
        <f>"0.17"</f>
        <v>0.17</v>
      </c>
      <c r="K15" s="4" t="str">
        <f>"-0.17"</f>
        <v>-0.17</v>
      </c>
      <c r="L15" s="4" t="str">
        <f t="shared" ref="L15:W15" si="42">"0.00"</f>
        <v>0.00</v>
      </c>
      <c r="M15" s="4" t="str">
        <f t="shared" si="29"/>
        <v>0.000</v>
      </c>
      <c r="N15" s="4" t="str">
        <f>"4.83"</f>
        <v>4.83</v>
      </c>
      <c r="O15" s="4" t="str">
        <f t="shared" si="30"/>
        <v>0</v>
      </c>
      <c r="P15" s="4" t="str">
        <f t="shared" si="42"/>
        <v>0.00</v>
      </c>
      <c r="Q15" s="4" t="str">
        <f t="shared" si="42"/>
        <v>0.00</v>
      </c>
      <c r="R15" s="4" t="str">
        <f t="shared" si="42"/>
        <v>0.00</v>
      </c>
      <c r="S15" s="4" t="str">
        <f t="shared" si="42"/>
        <v>0.00</v>
      </c>
      <c r="T15" s="4" t="str">
        <f t="shared" si="42"/>
        <v>0.00</v>
      </c>
      <c r="U15" s="4" t="str">
        <f t="shared" si="42"/>
        <v>0.00</v>
      </c>
      <c r="V15" s="4" t="str">
        <f t="shared" si="42"/>
        <v>0.00</v>
      </c>
      <c r="W15" s="4" t="str">
        <f t="shared" si="42"/>
        <v>0.00</v>
      </c>
      <c r="X15" s="4" t="str">
        <f t="shared" si="31"/>
        <v>0.00000</v>
      </c>
      <c r="Y15" s="4" t="str">
        <f t="shared" si="32"/>
        <v>0</v>
      </c>
      <c r="Z15" s="4" t="str">
        <f t="shared" si="33"/>
        <v>0</v>
      </c>
      <c r="AA15" s="4" t="str">
        <f t="shared" si="13"/>
        <v>人民币</v>
      </c>
      <c r="AB15" s="4" t="str">
        <f t="shared" si="14"/>
        <v>A368402599</v>
      </c>
    </row>
    <row r="16" spans="1:28">
      <c r="A16" s="4" t="str">
        <f>"20201028"</f>
        <v>20201028</v>
      </c>
      <c r="B16" s="4" t="str">
        <f>"20201028"</f>
        <v>20201028</v>
      </c>
      <c r="C16" s="4" t="str">
        <f t="shared" si="21"/>
        <v>0</v>
      </c>
      <c r="D16" s="4" t="str">
        <f t="shared" si="22"/>
        <v>00:00:00</v>
      </c>
      <c r="E16" s="4" t="str">
        <f t="shared" si="23"/>
        <v>港股通组合费</v>
      </c>
      <c r="F16" s="4" t="str">
        <f t="shared" si="24"/>
        <v/>
      </c>
      <c r="G16" s="4" t="str">
        <f t="shared" si="25"/>
        <v/>
      </c>
      <c r="H16" s="4" t="str">
        <f t="shared" si="26"/>
        <v>0.00</v>
      </c>
      <c r="I16" s="4" t="str">
        <f t="shared" si="27"/>
        <v>0</v>
      </c>
      <c r="J16" s="4" t="str">
        <f t="shared" ref="J16:J18" si="43">"0.04"</f>
        <v>0.04</v>
      </c>
      <c r="K16" s="4" t="str">
        <f t="shared" ref="K16:K18" si="44">"-0.04"</f>
        <v>-0.04</v>
      </c>
      <c r="L16" s="4" t="str">
        <f t="shared" ref="L16:W16" si="45">"0.00"</f>
        <v>0.00</v>
      </c>
      <c r="M16" s="4" t="str">
        <f t="shared" si="29"/>
        <v>0.000</v>
      </c>
      <c r="N16" s="4" t="str">
        <f t="shared" ref="N16:N18" si="46">"4.96"</f>
        <v>4.96</v>
      </c>
      <c r="O16" s="4" t="str">
        <f t="shared" si="30"/>
        <v>0</v>
      </c>
      <c r="P16" s="4" t="str">
        <f t="shared" si="45"/>
        <v>0.00</v>
      </c>
      <c r="Q16" s="4" t="str">
        <f t="shared" si="45"/>
        <v>0.00</v>
      </c>
      <c r="R16" s="4" t="str">
        <f t="shared" si="45"/>
        <v>0.00</v>
      </c>
      <c r="S16" s="4" t="str">
        <f t="shared" si="45"/>
        <v>0.00</v>
      </c>
      <c r="T16" s="4" t="str">
        <f t="shared" si="45"/>
        <v>0.00</v>
      </c>
      <c r="U16" s="4" t="str">
        <f t="shared" si="45"/>
        <v>0.00</v>
      </c>
      <c r="V16" s="4" t="str">
        <f t="shared" si="45"/>
        <v>0.00</v>
      </c>
      <c r="W16" s="4" t="str">
        <f t="shared" si="45"/>
        <v>0.00</v>
      </c>
      <c r="X16" s="4" t="str">
        <f t="shared" si="31"/>
        <v>0.00000</v>
      </c>
      <c r="Y16" s="4" t="str">
        <f t="shared" si="32"/>
        <v>0</v>
      </c>
      <c r="Z16" s="4" t="str">
        <f t="shared" si="33"/>
        <v>0</v>
      </c>
      <c r="AA16" s="4" t="str">
        <f t="shared" si="13"/>
        <v>人民币</v>
      </c>
      <c r="AB16" s="4" t="str">
        <f t="shared" si="14"/>
        <v>A368402599</v>
      </c>
    </row>
    <row r="17" spans="1:28">
      <c r="A17" s="4" t="str">
        <f>"20201029"</f>
        <v>20201029</v>
      </c>
      <c r="B17" s="4" t="str">
        <f>"20201029"</f>
        <v>20201029</v>
      </c>
      <c r="C17" s="4" t="str">
        <f t="shared" si="21"/>
        <v>0</v>
      </c>
      <c r="D17" s="4" t="str">
        <f t="shared" si="22"/>
        <v>00:00:00</v>
      </c>
      <c r="E17" s="4" t="str">
        <f t="shared" si="23"/>
        <v>港股通组合费</v>
      </c>
      <c r="F17" s="4" t="str">
        <f t="shared" si="24"/>
        <v/>
      </c>
      <c r="G17" s="4" t="str">
        <f t="shared" si="25"/>
        <v/>
      </c>
      <c r="H17" s="4" t="str">
        <f t="shared" si="26"/>
        <v>0.00</v>
      </c>
      <c r="I17" s="4" t="str">
        <f t="shared" si="27"/>
        <v>0</v>
      </c>
      <c r="J17" s="4" t="str">
        <f t="shared" si="43"/>
        <v>0.04</v>
      </c>
      <c r="K17" s="4" t="str">
        <f t="shared" si="44"/>
        <v>-0.04</v>
      </c>
      <c r="L17" s="4" t="str">
        <f t="shared" ref="L17:W17" si="47">"0.00"</f>
        <v>0.00</v>
      </c>
      <c r="M17" s="4" t="str">
        <f t="shared" si="29"/>
        <v>0.000</v>
      </c>
      <c r="N17" s="4" t="str">
        <f t="shared" si="46"/>
        <v>4.96</v>
      </c>
      <c r="O17" s="4" t="str">
        <f t="shared" si="30"/>
        <v>0</v>
      </c>
      <c r="P17" s="4" t="str">
        <f t="shared" si="47"/>
        <v>0.00</v>
      </c>
      <c r="Q17" s="4" t="str">
        <f t="shared" si="47"/>
        <v>0.00</v>
      </c>
      <c r="R17" s="4" t="str">
        <f t="shared" si="47"/>
        <v>0.00</v>
      </c>
      <c r="S17" s="4" t="str">
        <f t="shared" si="47"/>
        <v>0.00</v>
      </c>
      <c r="T17" s="4" t="str">
        <f t="shared" si="47"/>
        <v>0.00</v>
      </c>
      <c r="U17" s="4" t="str">
        <f t="shared" si="47"/>
        <v>0.00</v>
      </c>
      <c r="V17" s="4" t="str">
        <f t="shared" si="47"/>
        <v>0.00</v>
      </c>
      <c r="W17" s="4" t="str">
        <f t="shared" si="47"/>
        <v>0.00</v>
      </c>
      <c r="X17" s="4" t="str">
        <f t="shared" si="31"/>
        <v>0.00000</v>
      </c>
      <c r="Y17" s="4" t="str">
        <f t="shared" si="32"/>
        <v>0</v>
      </c>
      <c r="Z17" s="4" t="str">
        <f t="shared" si="33"/>
        <v>0</v>
      </c>
      <c r="AA17" s="4" t="str">
        <f t="shared" si="13"/>
        <v>人民币</v>
      </c>
      <c r="AB17" s="4" t="str">
        <f t="shared" si="14"/>
        <v>A368402599</v>
      </c>
    </row>
    <row r="18" spans="1:28">
      <c r="A18" s="4" t="str">
        <f>"20201030"</f>
        <v>20201030</v>
      </c>
      <c r="B18" s="4" t="str">
        <f>"20201030"</f>
        <v>20201030</v>
      </c>
      <c r="C18" s="4" t="str">
        <f t="shared" si="21"/>
        <v>0</v>
      </c>
      <c r="D18" s="4" t="str">
        <f t="shared" si="22"/>
        <v>00:00:00</v>
      </c>
      <c r="E18" s="4" t="str">
        <f t="shared" si="23"/>
        <v>港股通组合费</v>
      </c>
      <c r="F18" s="4" t="str">
        <f t="shared" si="24"/>
        <v/>
      </c>
      <c r="G18" s="4" t="str">
        <f t="shared" si="25"/>
        <v/>
      </c>
      <c r="H18" s="4" t="str">
        <f t="shared" si="26"/>
        <v>0.00</v>
      </c>
      <c r="I18" s="4" t="str">
        <f t="shared" si="27"/>
        <v>0</v>
      </c>
      <c r="J18" s="4" t="str">
        <f t="shared" si="43"/>
        <v>0.04</v>
      </c>
      <c r="K18" s="4" t="str">
        <f t="shared" si="44"/>
        <v>-0.04</v>
      </c>
      <c r="L18" s="4" t="str">
        <f t="shared" ref="L18:W18" si="48">"0.00"</f>
        <v>0.00</v>
      </c>
      <c r="M18" s="4" t="str">
        <f t="shared" si="29"/>
        <v>0.000</v>
      </c>
      <c r="N18" s="4" t="str">
        <f t="shared" si="46"/>
        <v>4.96</v>
      </c>
      <c r="O18" s="4" t="str">
        <f t="shared" si="30"/>
        <v>0</v>
      </c>
      <c r="P18" s="4" t="str">
        <f t="shared" si="48"/>
        <v>0.00</v>
      </c>
      <c r="Q18" s="4" t="str">
        <f t="shared" si="48"/>
        <v>0.00</v>
      </c>
      <c r="R18" s="4" t="str">
        <f t="shared" si="48"/>
        <v>0.00</v>
      </c>
      <c r="S18" s="4" t="str">
        <f t="shared" si="48"/>
        <v>0.00</v>
      </c>
      <c r="T18" s="4" t="str">
        <f t="shared" si="48"/>
        <v>0.00</v>
      </c>
      <c r="U18" s="4" t="str">
        <f t="shared" si="48"/>
        <v>0.00</v>
      </c>
      <c r="V18" s="4" t="str">
        <f t="shared" si="48"/>
        <v>0.00</v>
      </c>
      <c r="W18" s="4" t="str">
        <f t="shared" si="48"/>
        <v>0.00</v>
      </c>
      <c r="X18" s="4" t="str">
        <f t="shared" si="31"/>
        <v>0.00000</v>
      </c>
      <c r="Y18" s="4" t="str">
        <f t="shared" si="32"/>
        <v>0</v>
      </c>
      <c r="Z18" s="4" t="str">
        <f t="shared" si="33"/>
        <v>0</v>
      </c>
      <c r="AA18" s="4" t="str">
        <f t="shared" si="13"/>
        <v>人民币</v>
      </c>
      <c r="AB18" s="4" t="str">
        <f t="shared" si="14"/>
        <v>A368402599</v>
      </c>
    </row>
    <row r="19" spans="1:28">
      <c r="A19" s="4" t="str">
        <f>"20201102"</f>
        <v>20201102</v>
      </c>
      <c r="B19" s="4" t="str">
        <f>"20201102"</f>
        <v>20201102</v>
      </c>
      <c r="C19" s="4" t="str">
        <f t="shared" si="21"/>
        <v>0</v>
      </c>
      <c r="D19" s="4" t="str">
        <f t="shared" si="22"/>
        <v>00:00:00</v>
      </c>
      <c r="E19" s="4" t="str">
        <f t="shared" si="23"/>
        <v>港股通组合费</v>
      </c>
      <c r="F19" s="4" t="str">
        <f t="shared" si="24"/>
        <v/>
      </c>
      <c r="G19" s="4" t="str">
        <f t="shared" si="25"/>
        <v/>
      </c>
      <c r="H19" s="4" t="str">
        <f t="shared" si="26"/>
        <v>0.00</v>
      </c>
      <c r="I19" s="4" t="str">
        <f t="shared" si="27"/>
        <v>0</v>
      </c>
      <c r="J19" s="4" t="str">
        <f>"0.13"</f>
        <v>0.13</v>
      </c>
      <c r="K19" s="4" t="str">
        <f>"-0.13"</f>
        <v>-0.13</v>
      </c>
      <c r="L19" s="4" t="str">
        <f t="shared" ref="L19:W19" si="49">"0.00"</f>
        <v>0.00</v>
      </c>
      <c r="M19" s="4" t="str">
        <f t="shared" si="29"/>
        <v>0.000</v>
      </c>
      <c r="N19" s="4" t="str">
        <f>"4.87"</f>
        <v>4.87</v>
      </c>
      <c r="O19" s="4" t="str">
        <f t="shared" si="30"/>
        <v>0</v>
      </c>
      <c r="P19" s="4" t="str">
        <f t="shared" si="49"/>
        <v>0.00</v>
      </c>
      <c r="Q19" s="4" t="str">
        <f t="shared" si="49"/>
        <v>0.00</v>
      </c>
      <c r="R19" s="4" t="str">
        <f t="shared" si="49"/>
        <v>0.00</v>
      </c>
      <c r="S19" s="4" t="str">
        <f t="shared" si="49"/>
        <v>0.00</v>
      </c>
      <c r="T19" s="4" t="str">
        <f t="shared" si="49"/>
        <v>0.00</v>
      </c>
      <c r="U19" s="4" t="str">
        <f t="shared" si="49"/>
        <v>0.00</v>
      </c>
      <c r="V19" s="4" t="str">
        <f t="shared" si="49"/>
        <v>0.00</v>
      </c>
      <c r="W19" s="4" t="str">
        <f t="shared" si="49"/>
        <v>0.00</v>
      </c>
      <c r="X19" s="4" t="str">
        <f t="shared" si="31"/>
        <v>0.00000</v>
      </c>
      <c r="Y19" s="4" t="str">
        <f t="shared" si="32"/>
        <v>0</v>
      </c>
      <c r="Z19" s="4" t="str">
        <f t="shared" si="33"/>
        <v>0</v>
      </c>
      <c r="AA19" s="4" t="str">
        <f t="shared" si="13"/>
        <v>人民币</v>
      </c>
      <c r="AB19" s="4" t="str">
        <f t="shared" si="14"/>
        <v>A368402599</v>
      </c>
    </row>
    <row r="20" spans="1:28">
      <c r="A20" s="4" t="str">
        <f>"20201103"</f>
        <v>20201103</v>
      </c>
      <c r="B20" s="4" t="str">
        <f>"20201103"</f>
        <v>20201103</v>
      </c>
      <c r="C20" s="4" t="str">
        <f t="shared" si="21"/>
        <v>0</v>
      </c>
      <c r="D20" s="4" t="str">
        <f t="shared" si="22"/>
        <v>00:00:00</v>
      </c>
      <c r="E20" s="4" t="str">
        <f t="shared" si="23"/>
        <v>港股通组合费</v>
      </c>
      <c r="F20" s="4" t="str">
        <f t="shared" si="24"/>
        <v/>
      </c>
      <c r="G20" s="4" t="str">
        <f t="shared" si="25"/>
        <v/>
      </c>
      <c r="H20" s="4" t="str">
        <f t="shared" si="26"/>
        <v>0.00</v>
      </c>
      <c r="I20" s="4" t="str">
        <f t="shared" si="27"/>
        <v>0</v>
      </c>
      <c r="J20" s="4" t="str">
        <f t="shared" ref="J20:J23" si="50">"0.04"</f>
        <v>0.04</v>
      </c>
      <c r="K20" s="4" t="str">
        <f t="shared" ref="K20:K23" si="51">"-0.04"</f>
        <v>-0.04</v>
      </c>
      <c r="L20" s="4" t="str">
        <f t="shared" ref="L20:W20" si="52">"0.00"</f>
        <v>0.00</v>
      </c>
      <c r="M20" s="4" t="str">
        <f t="shared" si="29"/>
        <v>0.000</v>
      </c>
      <c r="N20" s="4" t="str">
        <f t="shared" ref="N20:N23" si="53">"4.96"</f>
        <v>4.96</v>
      </c>
      <c r="O20" s="4" t="str">
        <f t="shared" si="30"/>
        <v>0</v>
      </c>
      <c r="P20" s="4" t="str">
        <f t="shared" si="52"/>
        <v>0.00</v>
      </c>
      <c r="Q20" s="4" t="str">
        <f t="shared" si="52"/>
        <v>0.00</v>
      </c>
      <c r="R20" s="4" t="str">
        <f t="shared" si="52"/>
        <v>0.00</v>
      </c>
      <c r="S20" s="4" t="str">
        <f t="shared" si="52"/>
        <v>0.00</v>
      </c>
      <c r="T20" s="4" t="str">
        <f t="shared" si="52"/>
        <v>0.00</v>
      </c>
      <c r="U20" s="4" t="str">
        <f t="shared" si="52"/>
        <v>0.00</v>
      </c>
      <c r="V20" s="4" t="str">
        <f t="shared" si="52"/>
        <v>0.00</v>
      </c>
      <c r="W20" s="4" t="str">
        <f t="shared" si="52"/>
        <v>0.00</v>
      </c>
      <c r="X20" s="4" t="str">
        <f t="shared" si="31"/>
        <v>0.00000</v>
      </c>
      <c r="Y20" s="4" t="str">
        <f t="shared" si="32"/>
        <v>0</v>
      </c>
      <c r="Z20" s="4" t="str">
        <f t="shared" si="33"/>
        <v>0</v>
      </c>
      <c r="AA20" s="4" t="str">
        <f t="shared" si="13"/>
        <v>人民币</v>
      </c>
      <c r="AB20" s="4" t="str">
        <f t="shared" si="14"/>
        <v>A368402599</v>
      </c>
    </row>
    <row r="21" spans="1:28">
      <c r="A21" s="4" t="str">
        <f>"20201104"</f>
        <v>20201104</v>
      </c>
      <c r="B21" s="4" t="str">
        <f>"20201104"</f>
        <v>20201104</v>
      </c>
      <c r="C21" s="4" t="str">
        <f t="shared" si="21"/>
        <v>0</v>
      </c>
      <c r="D21" s="4" t="str">
        <f t="shared" si="22"/>
        <v>00:00:00</v>
      </c>
      <c r="E21" s="4" t="str">
        <f t="shared" si="23"/>
        <v>港股通组合费</v>
      </c>
      <c r="F21" s="4" t="str">
        <f t="shared" si="24"/>
        <v/>
      </c>
      <c r="G21" s="4" t="str">
        <f t="shared" si="25"/>
        <v/>
      </c>
      <c r="H21" s="4" t="str">
        <f t="shared" si="26"/>
        <v>0.00</v>
      </c>
      <c r="I21" s="4" t="str">
        <f t="shared" si="27"/>
        <v>0</v>
      </c>
      <c r="J21" s="4" t="str">
        <f t="shared" si="50"/>
        <v>0.04</v>
      </c>
      <c r="K21" s="4" t="str">
        <f t="shared" si="51"/>
        <v>-0.04</v>
      </c>
      <c r="L21" s="4" t="str">
        <f t="shared" ref="L21:W21" si="54">"0.00"</f>
        <v>0.00</v>
      </c>
      <c r="M21" s="4" t="str">
        <f t="shared" si="29"/>
        <v>0.000</v>
      </c>
      <c r="N21" s="4" t="str">
        <f t="shared" si="53"/>
        <v>4.96</v>
      </c>
      <c r="O21" s="4" t="str">
        <f t="shared" si="30"/>
        <v>0</v>
      </c>
      <c r="P21" s="4" t="str">
        <f t="shared" si="54"/>
        <v>0.00</v>
      </c>
      <c r="Q21" s="4" t="str">
        <f t="shared" si="54"/>
        <v>0.00</v>
      </c>
      <c r="R21" s="4" t="str">
        <f t="shared" si="54"/>
        <v>0.00</v>
      </c>
      <c r="S21" s="4" t="str">
        <f t="shared" si="54"/>
        <v>0.00</v>
      </c>
      <c r="T21" s="4" t="str">
        <f t="shared" si="54"/>
        <v>0.00</v>
      </c>
      <c r="U21" s="4" t="str">
        <f t="shared" si="54"/>
        <v>0.00</v>
      </c>
      <c r="V21" s="4" t="str">
        <f t="shared" si="54"/>
        <v>0.00</v>
      </c>
      <c r="W21" s="4" t="str">
        <f t="shared" si="54"/>
        <v>0.00</v>
      </c>
      <c r="X21" s="4" t="str">
        <f t="shared" si="31"/>
        <v>0.00000</v>
      </c>
      <c r="Y21" s="4" t="str">
        <f t="shared" si="32"/>
        <v>0</v>
      </c>
      <c r="Z21" s="4" t="str">
        <f t="shared" si="33"/>
        <v>0</v>
      </c>
      <c r="AA21" s="4" t="str">
        <f t="shared" si="13"/>
        <v>人民币</v>
      </c>
      <c r="AB21" s="4" t="str">
        <f t="shared" si="14"/>
        <v>A368402599</v>
      </c>
    </row>
    <row r="22" spans="1:28">
      <c r="A22" s="4" t="str">
        <f>"20201105"</f>
        <v>20201105</v>
      </c>
      <c r="B22" s="4" t="str">
        <f>"20201105"</f>
        <v>20201105</v>
      </c>
      <c r="C22" s="4" t="str">
        <f t="shared" si="21"/>
        <v>0</v>
      </c>
      <c r="D22" s="4" t="str">
        <f t="shared" si="22"/>
        <v>00:00:00</v>
      </c>
      <c r="E22" s="4" t="str">
        <f t="shared" si="23"/>
        <v>港股通组合费</v>
      </c>
      <c r="F22" s="4" t="str">
        <f t="shared" si="24"/>
        <v/>
      </c>
      <c r="G22" s="4" t="str">
        <f t="shared" si="25"/>
        <v/>
      </c>
      <c r="H22" s="4" t="str">
        <f t="shared" si="26"/>
        <v>0.00</v>
      </c>
      <c r="I22" s="4" t="str">
        <f t="shared" si="27"/>
        <v>0</v>
      </c>
      <c r="J22" s="4" t="str">
        <f t="shared" si="50"/>
        <v>0.04</v>
      </c>
      <c r="K22" s="4" t="str">
        <f t="shared" si="51"/>
        <v>-0.04</v>
      </c>
      <c r="L22" s="4" t="str">
        <f t="shared" ref="L22:W22" si="55">"0.00"</f>
        <v>0.00</v>
      </c>
      <c r="M22" s="4" t="str">
        <f t="shared" si="29"/>
        <v>0.000</v>
      </c>
      <c r="N22" s="4" t="str">
        <f t="shared" si="53"/>
        <v>4.96</v>
      </c>
      <c r="O22" s="4" t="str">
        <f t="shared" si="30"/>
        <v>0</v>
      </c>
      <c r="P22" s="4" t="str">
        <f t="shared" si="55"/>
        <v>0.00</v>
      </c>
      <c r="Q22" s="4" t="str">
        <f t="shared" si="55"/>
        <v>0.00</v>
      </c>
      <c r="R22" s="4" t="str">
        <f t="shared" si="55"/>
        <v>0.00</v>
      </c>
      <c r="S22" s="4" t="str">
        <f t="shared" si="55"/>
        <v>0.00</v>
      </c>
      <c r="T22" s="4" t="str">
        <f t="shared" si="55"/>
        <v>0.00</v>
      </c>
      <c r="U22" s="4" t="str">
        <f t="shared" si="55"/>
        <v>0.00</v>
      </c>
      <c r="V22" s="4" t="str">
        <f t="shared" si="55"/>
        <v>0.00</v>
      </c>
      <c r="W22" s="4" t="str">
        <f t="shared" si="55"/>
        <v>0.00</v>
      </c>
      <c r="X22" s="4" t="str">
        <f t="shared" si="31"/>
        <v>0.00000</v>
      </c>
      <c r="Y22" s="4" t="str">
        <f t="shared" si="32"/>
        <v>0</v>
      </c>
      <c r="Z22" s="4" t="str">
        <f t="shared" si="33"/>
        <v>0</v>
      </c>
      <c r="AA22" s="4" t="str">
        <f t="shared" si="13"/>
        <v>人民币</v>
      </c>
      <c r="AB22" s="4" t="str">
        <f t="shared" si="14"/>
        <v>A368402599</v>
      </c>
    </row>
    <row r="23" spans="1:28">
      <c r="A23" s="4" t="str">
        <f>"20201106"</f>
        <v>20201106</v>
      </c>
      <c r="B23" s="4" t="str">
        <f>"20201106"</f>
        <v>20201106</v>
      </c>
      <c r="C23" s="4" t="str">
        <f t="shared" si="21"/>
        <v>0</v>
      </c>
      <c r="D23" s="4" t="str">
        <f t="shared" si="22"/>
        <v>00:00:00</v>
      </c>
      <c r="E23" s="4" t="str">
        <f t="shared" si="23"/>
        <v>港股通组合费</v>
      </c>
      <c r="F23" s="4" t="str">
        <f t="shared" si="24"/>
        <v/>
      </c>
      <c r="G23" s="4" t="str">
        <f t="shared" si="25"/>
        <v/>
      </c>
      <c r="H23" s="4" t="str">
        <f t="shared" si="26"/>
        <v>0.00</v>
      </c>
      <c r="I23" s="4" t="str">
        <f t="shared" si="27"/>
        <v>0</v>
      </c>
      <c r="J23" s="4" t="str">
        <f t="shared" si="50"/>
        <v>0.04</v>
      </c>
      <c r="K23" s="4" t="str">
        <f t="shared" si="51"/>
        <v>-0.04</v>
      </c>
      <c r="L23" s="4" t="str">
        <f t="shared" ref="L23:W23" si="56">"0.00"</f>
        <v>0.00</v>
      </c>
      <c r="M23" s="4" t="str">
        <f t="shared" si="29"/>
        <v>0.000</v>
      </c>
      <c r="N23" s="4" t="str">
        <f t="shared" si="53"/>
        <v>4.96</v>
      </c>
      <c r="O23" s="4" t="str">
        <f t="shared" si="30"/>
        <v>0</v>
      </c>
      <c r="P23" s="4" t="str">
        <f t="shared" si="56"/>
        <v>0.00</v>
      </c>
      <c r="Q23" s="4" t="str">
        <f t="shared" si="56"/>
        <v>0.00</v>
      </c>
      <c r="R23" s="4" t="str">
        <f t="shared" si="56"/>
        <v>0.00</v>
      </c>
      <c r="S23" s="4" t="str">
        <f t="shared" si="56"/>
        <v>0.00</v>
      </c>
      <c r="T23" s="4" t="str">
        <f t="shared" si="56"/>
        <v>0.00</v>
      </c>
      <c r="U23" s="4" t="str">
        <f t="shared" si="56"/>
        <v>0.00</v>
      </c>
      <c r="V23" s="4" t="str">
        <f t="shared" si="56"/>
        <v>0.00</v>
      </c>
      <c r="W23" s="4" t="str">
        <f t="shared" si="56"/>
        <v>0.00</v>
      </c>
      <c r="X23" s="4" t="str">
        <f t="shared" si="31"/>
        <v>0.00000</v>
      </c>
      <c r="Y23" s="4" t="str">
        <f t="shared" si="32"/>
        <v>0</v>
      </c>
      <c r="Z23" s="4" t="str">
        <f t="shared" si="33"/>
        <v>0</v>
      </c>
      <c r="AA23" s="4" t="str">
        <f t="shared" si="13"/>
        <v>人民币</v>
      </c>
      <c r="AB23" s="4" t="str">
        <f t="shared" si="14"/>
        <v>A368402599</v>
      </c>
    </row>
    <row r="24" spans="1:28">
      <c r="A24" s="4" t="str">
        <f>"20201109"</f>
        <v>20201109</v>
      </c>
      <c r="B24" s="4" t="str">
        <f>"20201109"</f>
        <v>20201109</v>
      </c>
      <c r="C24" s="4" t="str">
        <f>"20201109"</f>
        <v>20201109</v>
      </c>
      <c r="D24" s="4" t="str">
        <f t="shared" si="22"/>
        <v>00:00:00</v>
      </c>
      <c r="E24" s="4" t="str">
        <f>"港股通红利发放"</f>
        <v>港股通红利发放</v>
      </c>
      <c r="F24" s="4" t="str">
        <f>"00386"</f>
        <v>00386</v>
      </c>
      <c r="G24" s="4" t="str">
        <f>"中国石油"</f>
        <v>中国石油</v>
      </c>
      <c r="H24" s="4" t="str">
        <f>"0.06"</f>
        <v>0.06</v>
      </c>
      <c r="I24" s="4" t="str">
        <f>"54000"</f>
        <v>54000</v>
      </c>
      <c r="J24" s="4" t="str">
        <f>"3024.00"</f>
        <v>3024.00</v>
      </c>
      <c r="K24" s="4" t="str">
        <f>"3024.00"</f>
        <v>3024.00</v>
      </c>
      <c r="L24" s="4" t="str">
        <f t="shared" ref="L24:W24" si="57">"0.00"</f>
        <v>0.00</v>
      </c>
      <c r="M24" s="4" t="str">
        <f t="shared" si="29"/>
        <v>0.000</v>
      </c>
      <c r="N24" s="4" t="str">
        <f>"3029.00"</f>
        <v>3029.00</v>
      </c>
      <c r="O24" s="4" t="str">
        <f>"64000"</f>
        <v>64000</v>
      </c>
      <c r="P24" s="4" t="str">
        <f t="shared" si="57"/>
        <v>0.00</v>
      </c>
      <c r="Q24" s="4" t="str">
        <f t="shared" si="57"/>
        <v>0.00</v>
      </c>
      <c r="R24" s="4" t="str">
        <f t="shared" si="57"/>
        <v>0.00</v>
      </c>
      <c r="S24" s="4" t="str">
        <f t="shared" si="57"/>
        <v>0.00</v>
      </c>
      <c r="T24" s="4" t="str">
        <f t="shared" si="57"/>
        <v>0.00</v>
      </c>
      <c r="U24" s="4" t="str">
        <f t="shared" si="57"/>
        <v>0.00</v>
      </c>
      <c r="V24" s="4" t="str">
        <f t="shared" si="57"/>
        <v>0.00</v>
      </c>
      <c r="W24" s="4" t="str">
        <f t="shared" si="57"/>
        <v>0.00</v>
      </c>
      <c r="X24" s="4" t="str">
        <f>"1.00000"</f>
        <v>1.00000</v>
      </c>
      <c r="Y24" s="4" t="str">
        <f>""</f>
        <v/>
      </c>
      <c r="Z24" s="4" t="str">
        <f t="shared" si="33"/>
        <v>0</v>
      </c>
      <c r="AA24" s="4" t="str">
        <f t="shared" si="13"/>
        <v>人民币</v>
      </c>
      <c r="AB24" s="4" t="str">
        <f t="shared" si="14"/>
        <v>A368402599</v>
      </c>
    </row>
    <row r="25" spans="1:28">
      <c r="A25" s="4" t="str">
        <f>"20201109"</f>
        <v>20201109</v>
      </c>
      <c r="B25" s="4" t="str">
        <f>"20201109"</f>
        <v>20201109</v>
      </c>
      <c r="C25" s="4" t="str">
        <f t="shared" ref="C25:C27" si="58">"0"</f>
        <v>0</v>
      </c>
      <c r="D25" s="4" t="str">
        <f t="shared" si="22"/>
        <v>00:00:00</v>
      </c>
      <c r="E25" s="4" t="str">
        <f t="shared" ref="E25:E27" si="59">"港股通组合费"</f>
        <v>港股通组合费</v>
      </c>
      <c r="F25" s="4" t="str">
        <f t="shared" ref="F25:F27" si="60">""</f>
        <v/>
      </c>
      <c r="G25" s="4" t="str">
        <f t="shared" ref="G25:G27" si="61">""</f>
        <v/>
      </c>
      <c r="H25" s="4" t="str">
        <f t="shared" ref="H25:H27" si="62">"0.00"</f>
        <v>0.00</v>
      </c>
      <c r="I25" s="4" t="str">
        <f t="shared" ref="I25:I27" si="63">"0"</f>
        <v>0</v>
      </c>
      <c r="J25" s="4" t="str">
        <f>"0.13"</f>
        <v>0.13</v>
      </c>
      <c r="K25" s="4" t="str">
        <f>"-0.13"</f>
        <v>-0.13</v>
      </c>
      <c r="L25" s="4" t="str">
        <f t="shared" ref="L25:W25" si="64">"0.00"</f>
        <v>0.00</v>
      </c>
      <c r="M25" s="4" t="str">
        <f t="shared" si="29"/>
        <v>0.000</v>
      </c>
      <c r="N25" s="4" t="str">
        <f>"3028.87"</f>
        <v>3028.87</v>
      </c>
      <c r="O25" s="4" t="str">
        <f t="shared" ref="O25:O27" si="65">"0"</f>
        <v>0</v>
      </c>
      <c r="P25" s="4" t="str">
        <f t="shared" si="64"/>
        <v>0.00</v>
      </c>
      <c r="Q25" s="4" t="str">
        <f t="shared" si="64"/>
        <v>0.00</v>
      </c>
      <c r="R25" s="4" t="str">
        <f t="shared" si="64"/>
        <v>0.00</v>
      </c>
      <c r="S25" s="4" t="str">
        <f t="shared" si="64"/>
        <v>0.00</v>
      </c>
      <c r="T25" s="4" t="str">
        <f t="shared" si="64"/>
        <v>0.00</v>
      </c>
      <c r="U25" s="4" t="str">
        <f t="shared" si="64"/>
        <v>0.00</v>
      </c>
      <c r="V25" s="4" t="str">
        <f t="shared" si="64"/>
        <v>0.00</v>
      </c>
      <c r="W25" s="4" t="str">
        <f t="shared" si="64"/>
        <v>0.00</v>
      </c>
      <c r="X25" s="4" t="str">
        <f t="shared" ref="X25:X27" si="66">"0.00000"</f>
        <v>0.00000</v>
      </c>
      <c r="Y25" s="4" t="str">
        <f t="shared" ref="Y25:Y27" si="67">"0"</f>
        <v>0</v>
      </c>
      <c r="Z25" s="4" t="str">
        <f t="shared" si="33"/>
        <v>0</v>
      </c>
      <c r="AA25" s="4" t="str">
        <f t="shared" si="13"/>
        <v>人民币</v>
      </c>
      <c r="AB25" s="4" t="str">
        <f t="shared" si="14"/>
        <v>A368402599</v>
      </c>
    </row>
    <row r="26" spans="1:28">
      <c r="A26" s="4" t="str">
        <f>"20201110"</f>
        <v>20201110</v>
      </c>
      <c r="B26" s="4" t="str">
        <f t="shared" ref="B26:B29" si="68">"20201110"</f>
        <v>20201110</v>
      </c>
      <c r="C26" s="4" t="str">
        <f t="shared" si="58"/>
        <v>0</v>
      </c>
      <c r="D26" s="4" t="str">
        <f t="shared" si="22"/>
        <v>00:00:00</v>
      </c>
      <c r="E26" s="4" t="str">
        <f t="shared" si="59"/>
        <v>港股通组合费</v>
      </c>
      <c r="F26" s="4" t="str">
        <f t="shared" si="60"/>
        <v/>
      </c>
      <c r="G26" s="4" t="str">
        <f t="shared" si="61"/>
        <v/>
      </c>
      <c r="H26" s="4" t="str">
        <f t="shared" si="62"/>
        <v>0.00</v>
      </c>
      <c r="I26" s="4" t="str">
        <f t="shared" si="63"/>
        <v>0</v>
      </c>
      <c r="J26" s="4" t="str">
        <f t="shared" ref="J26:J31" si="69">"0.04"</f>
        <v>0.04</v>
      </c>
      <c r="K26" s="4" t="str">
        <f t="shared" ref="K26:K31" si="70">"-0.04"</f>
        <v>-0.04</v>
      </c>
      <c r="L26" s="4" t="str">
        <f t="shared" ref="L26:W26" si="71">"0.00"</f>
        <v>0.00</v>
      </c>
      <c r="M26" s="4" t="str">
        <f t="shared" si="29"/>
        <v>0.000</v>
      </c>
      <c r="N26" s="4" t="str">
        <f t="shared" ref="N26:N31" si="72">"4.96"</f>
        <v>4.96</v>
      </c>
      <c r="O26" s="4" t="str">
        <f t="shared" si="65"/>
        <v>0</v>
      </c>
      <c r="P26" s="4" t="str">
        <f t="shared" si="71"/>
        <v>0.00</v>
      </c>
      <c r="Q26" s="4" t="str">
        <f t="shared" si="71"/>
        <v>0.00</v>
      </c>
      <c r="R26" s="4" t="str">
        <f t="shared" si="71"/>
        <v>0.00</v>
      </c>
      <c r="S26" s="4" t="str">
        <f t="shared" si="71"/>
        <v>0.00</v>
      </c>
      <c r="T26" s="4" t="str">
        <f t="shared" si="71"/>
        <v>0.00</v>
      </c>
      <c r="U26" s="4" t="str">
        <f t="shared" si="71"/>
        <v>0.00</v>
      </c>
      <c r="V26" s="4" t="str">
        <f t="shared" si="71"/>
        <v>0.00</v>
      </c>
      <c r="W26" s="4" t="str">
        <f t="shared" si="71"/>
        <v>0.00</v>
      </c>
      <c r="X26" s="4" t="str">
        <f t="shared" si="66"/>
        <v>0.00000</v>
      </c>
      <c r="Y26" s="4" t="str">
        <f t="shared" si="67"/>
        <v>0</v>
      </c>
      <c r="Z26" s="4" t="str">
        <f t="shared" si="33"/>
        <v>0</v>
      </c>
      <c r="AA26" s="4" t="str">
        <f t="shared" si="13"/>
        <v>人民币</v>
      </c>
      <c r="AB26" s="4" t="str">
        <f t="shared" si="14"/>
        <v>A368402599</v>
      </c>
    </row>
    <row r="27" spans="1:28">
      <c r="A27" s="4" t="str">
        <f>"20201111"</f>
        <v>20201111</v>
      </c>
      <c r="B27" s="4" t="str">
        <f>"20201111"</f>
        <v>20201111</v>
      </c>
      <c r="C27" s="4" t="str">
        <f t="shared" si="58"/>
        <v>0</v>
      </c>
      <c r="D27" s="4" t="str">
        <f t="shared" si="22"/>
        <v>00:00:00</v>
      </c>
      <c r="E27" s="4" t="str">
        <f t="shared" si="59"/>
        <v>港股通组合费</v>
      </c>
      <c r="F27" s="4" t="str">
        <f t="shared" si="60"/>
        <v/>
      </c>
      <c r="G27" s="4" t="str">
        <f t="shared" si="61"/>
        <v/>
      </c>
      <c r="H27" s="4" t="str">
        <f t="shared" si="62"/>
        <v>0.00</v>
      </c>
      <c r="I27" s="4" t="str">
        <f t="shared" si="63"/>
        <v>0</v>
      </c>
      <c r="J27" s="4" t="str">
        <f t="shared" si="69"/>
        <v>0.04</v>
      </c>
      <c r="K27" s="4" t="str">
        <f t="shared" si="70"/>
        <v>-0.04</v>
      </c>
      <c r="L27" s="4" t="str">
        <f t="shared" ref="L27:W27" si="73">"0.00"</f>
        <v>0.00</v>
      </c>
      <c r="M27" s="4" t="str">
        <f t="shared" si="29"/>
        <v>0.000</v>
      </c>
      <c r="N27" s="4" t="str">
        <f t="shared" si="72"/>
        <v>4.96</v>
      </c>
      <c r="O27" s="4" t="str">
        <f t="shared" si="65"/>
        <v>0</v>
      </c>
      <c r="P27" s="4" t="str">
        <f t="shared" si="73"/>
        <v>0.00</v>
      </c>
      <c r="Q27" s="4" t="str">
        <f t="shared" si="73"/>
        <v>0.00</v>
      </c>
      <c r="R27" s="4" t="str">
        <f t="shared" si="73"/>
        <v>0.00</v>
      </c>
      <c r="S27" s="4" t="str">
        <f t="shared" si="73"/>
        <v>0.00</v>
      </c>
      <c r="T27" s="4" t="str">
        <f t="shared" si="73"/>
        <v>0.00</v>
      </c>
      <c r="U27" s="4" t="str">
        <f t="shared" si="73"/>
        <v>0.00</v>
      </c>
      <c r="V27" s="4" t="str">
        <f t="shared" si="73"/>
        <v>0.00</v>
      </c>
      <c r="W27" s="4" t="str">
        <f t="shared" si="73"/>
        <v>0.00</v>
      </c>
      <c r="X27" s="4" t="str">
        <f t="shared" si="66"/>
        <v>0.00000</v>
      </c>
      <c r="Y27" s="4" t="str">
        <f t="shared" si="67"/>
        <v>0</v>
      </c>
      <c r="Z27" s="4" t="str">
        <f t="shared" si="33"/>
        <v>0</v>
      </c>
      <c r="AA27" s="4" t="str">
        <f t="shared" si="13"/>
        <v>人民币</v>
      </c>
      <c r="AB27" s="4" t="str">
        <f t="shared" si="14"/>
        <v>A368402599</v>
      </c>
    </row>
    <row r="28" spans="1:28">
      <c r="A28" s="4" t="str">
        <f t="shared" ref="A28:A30" si="74">"20201112"</f>
        <v>20201112</v>
      </c>
      <c r="B28" s="4" t="str">
        <f t="shared" si="68"/>
        <v>20201110</v>
      </c>
      <c r="C28" s="4" t="str">
        <f>"20201110"</f>
        <v>20201110</v>
      </c>
      <c r="D28" s="4" t="str">
        <f>"09:36:24"</f>
        <v>09:36:24</v>
      </c>
      <c r="E28" s="4" t="str">
        <f>"港股通股票卖出"</f>
        <v>港股通股票卖出</v>
      </c>
      <c r="F28" s="4" t="str">
        <f>"00386"</f>
        <v>00386</v>
      </c>
      <c r="G28" s="4" t="str">
        <f>"中国石油"</f>
        <v>中国石油</v>
      </c>
      <c r="H28" s="4" t="str">
        <f>"2.90"</f>
        <v>2.90</v>
      </c>
      <c r="I28" s="4" t="str">
        <f>"10000"</f>
        <v>10000</v>
      </c>
      <c r="J28" s="4" t="str">
        <f>"29032.89"</f>
        <v>29032.89</v>
      </c>
      <c r="K28" s="4" t="str">
        <f>"28982.28"</f>
        <v>28982.28</v>
      </c>
      <c r="L28" s="4" t="str">
        <f>"10000.00"</f>
        <v>10000.00</v>
      </c>
      <c r="M28" s="4" t="str">
        <f>"3.430"</f>
        <v>3.430</v>
      </c>
      <c r="N28" s="4" t="str">
        <f>"25819.52"</f>
        <v>25819.52</v>
      </c>
      <c r="O28" s="4" t="str">
        <f>"54000"</f>
        <v>54000</v>
      </c>
      <c r="P28" s="4" t="str">
        <f>"29.62"</f>
        <v>29.62</v>
      </c>
      <c r="Q28" s="4" t="str">
        <f>"14.52"</f>
        <v>14.52</v>
      </c>
      <c r="R28" s="4" t="str">
        <f>"3.38"</f>
        <v>3.38</v>
      </c>
      <c r="S28" s="4" t="str">
        <f>"1.43"</f>
        <v>1.43</v>
      </c>
      <c r="T28" s="4" t="str">
        <f>"0.00"</f>
        <v>0.00</v>
      </c>
      <c r="U28" s="4" t="str">
        <f>"0.84"</f>
        <v>0.84</v>
      </c>
      <c r="V28" s="4" t="str">
        <f>"0.78"</f>
        <v>0.78</v>
      </c>
      <c r="W28" s="4" t="str">
        <f>"0.04"</f>
        <v>0.04</v>
      </c>
      <c r="X28" s="4" t="str">
        <f>"0.84644"</f>
        <v>0.84644</v>
      </c>
      <c r="Y28" s="4" t="str">
        <f>"386000002099"</f>
        <v>386000002099</v>
      </c>
      <c r="Z28" s="4" t="str">
        <f>"93624"</f>
        <v>93624</v>
      </c>
      <c r="AA28" s="4" t="str">
        <f t="shared" si="13"/>
        <v>人民币</v>
      </c>
      <c r="AB28" s="4" t="str">
        <f t="shared" si="14"/>
        <v>A368402599</v>
      </c>
    </row>
    <row r="29" spans="1:28">
      <c r="A29" s="4" t="str">
        <f t="shared" si="74"/>
        <v>20201112</v>
      </c>
      <c r="B29" s="4" t="str">
        <f t="shared" si="68"/>
        <v>20201110</v>
      </c>
      <c r="C29" s="4" t="str">
        <f>"20201110"</f>
        <v>20201110</v>
      </c>
      <c r="D29" s="4" t="str">
        <f>"10:06:50"</f>
        <v>10:06:50</v>
      </c>
      <c r="E29" s="4" t="str">
        <f>"港股通股票买入"</f>
        <v>港股通股票买入</v>
      </c>
      <c r="F29" s="4" t="str">
        <f>"01099"</f>
        <v>01099</v>
      </c>
      <c r="G29" s="4" t="str">
        <f>"国药控股"</f>
        <v>国药控股</v>
      </c>
      <c r="H29" s="4" t="str">
        <f>"16.11"</f>
        <v>16.11</v>
      </c>
      <c r="I29" s="4" t="str">
        <f>"1600"</f>
        <v>1600</v>
      </c>
      <c r="J29" s="4" t="str">
        <f>"25771.33"</f>
        <v>25771.33</v>
      </c>
      <c r="K29" s="4" t="str">
        <f>"-25814.52"</f>
        <v>-25814.52</v>
      </c>
      <c r="L29" s="4" t="str">
        <f>"1600.00"</f>
        <v>1600.00</v>
      </c>
      <c r="M29" s="4" t="str">
        <f>"19.040"</f>
        <v>19.040</v>
      </c>
      <c r="N29" s="4" t="str">
        <f>"5.00"</f>
        <v>5.00</v>
      </c>
      <c r="O29" s="4" t="str">
        <f>"1600"</f>
        <v>1600</v>
      </c>
      <c r="P29" s="4" t="str">
        <f>"26.22"</f>
        <v>26.22</v>
      </c>
      <c r="Q29" s="4" t="str">
        <f>"12.88"</f>
        <v>12.88</v>
      </c>
      <c r="R29" s="4" t="str">
        <f>"1.69"</f>
        <v>1.69</v>
      </c>
      <c r="S29" s="4" t="str">
        <f>"1.28"</f>
        <v>1.28</v>
      </c>
      <c r="T29" s="4" t="str">
        <f>"0.00"</f>
        <v>0.00</v>
      </c>
      <c r="U29" s="4" t="str">
        <f>"0.42"</f>
        <v>0.42</v>
      </c>
      <c r="V29" s="4" t="str">
        <f>"0.69"</f>
        <v>0.69</v>
      </c>
      <c r="W29" s="4" t="str">
        <f>"0.01"</f>
        <v>0.01</v>
      </c>
      <c r="X29" s="4" t="str">
        <f>"0.84596"</f>
        <v>0.84596</v>
      </c>
      <c r="Y29" s="4" t="str">
        <f>"1099000002698"</f>
        <v>1099000002698</v>
      </c>
      <c r="Z29" s="4" t="str">
        <f>"101309"</f>
        <v>101309</v>
      </c>
      <c r="AA29" s="4" t="str">
        <f t="shared" si="13"/>
        <v>人民币</v>
      </c>
      <c r="AB29" s="4" t="str">
        <f t="shared" si="14"/>
        <v>A368402599</v>
      </c>
    </row>
    <row r="30" spans="1:28">
      <c r="A30" s="4" t="str">
        <f t="shared" si="74"/>
        <v>20201112</v>
      </c>
      <c r="B30" s="4" t="str">
        <f>"20201112"</f>
        <v>20201112</v>
      </c>
      <c r="C30" s="4" t="str">
        <f t="shared" ref="C30:C64" si="75">"0"</f>
        <v>0</v>
      </c>
      <c r="D30" s="4" t="str">
        <f t="shared" ref="D30:D64" si="76">"00:00:00"</f>
        <v>00:00:00</v>
      </c>
      <c r="E30" s="4" t="str">
        <f t="shared" ref="E30:E64" si="77">"港股通组合费"</f>
        <v>港股通组合费</v>
      </c>
      <c r="F30" s="4" t="str">
        <f t="shared" ref="F30:F64" si="78">""</f>
        <v/>
      </c>
      <c r="G30" s="4" t="str">
        <f t="shared" ref="G30:G64" si="79">""</f>
        <v/>
      </c>
      <c r="H30" s="4" t="str">
        <f t="shared" ref="H30:H64" si="80">"0.00"</f>
        <v>0.00</v>
      </c>
      <c r="I30" s="4" t="str">
        <f t="shared" ref="I30:I64" si="81">"0"</f>
        <v>0</v>
      </c>
      <c r="J30" s="4" t="str">
        <f>"0.05"</f>
        <v>0.05</v>
      </c>
      <c r="K30" s="4" t="str">
        <f>"-0.05"</f>
        <v>-0.05</v>
      </c>
      <c r="L30" s="4" t="str">
        <f t="shared" ref="L30:W30" si="82">"0.00"</f>
        <v>0.00</v>
      </c>
      <c r="M30" s="4" t="str">
        <f t="shared" ref="M30:M64" si="83">"0.000"</f>
        <v>0.000</v>
      </c>
      <c r="N30" s="4" t="str">
        <f>"4.95"</f>
        <v>4.95</v>
      </c>
      <c r="O30" s="4" t="str">
        <f t="shared" ref="O30:O64" si="84">"0"</f>
        <v>0</v>
      </c>
      <c r="P30" s="4" t="str">
        <f t="shared" si="82"/>
        <v>0.00</v>
      </c>
      <c r="Q30" s="4" t="str">
        <f t="shared" si="82"/>
        <v>0.00</v>
      </c>
      <c r="R30" s="4" t="str">
        <f t="shared" si="82"/>
        <v>0.00</v>
      </c>
      <c r="S30" s="4" t="str">
        <f t="shared" si="82"/>
        <v>0.00</v>
      </c>
      <c r="T30" s="4" t="str">
        <f t="shared" si="82"/>
        <v>0.00</v>
      </c>
      <c r="U30" s="4" t="str">
        <f t="shared" si="82"/>
        <v>0.00</v>
      </c>
      <c r="V30" s="4" t="str">
        <f t="shared" si="82"/>
        <v>0.00</v>
      </c>
      <c r="W30" s="4" t="str">
        <f t="shared" si="82"/>
        <v>0.00</v>
      </c>
      <c r="X30" s="4" t="str">
        <f t="shared" ref="X30:X64" si="85">"0.00000"</f>
        <v>0.00000</v>
      </c>
      <c r="Y30" s="4" t="str">
        <f t="shared" ref="Y30:Y64" si="86">"0"</f>
        <v>0</v>
      </c>
      <c r="Z30" s="4" t="str">
        <f t="shared" ref="Z30:Z64" si="87">"0"</f>
        <v>0</v>
      </c>
      <c r="AA30" s="4" t="str">
        <f t="shared" si="13"/>
        <v>人民币</v>
      </c>
      <c r="AB30" s="4" t="str">
        <f t="shared" si="14"/>
        <v>A368402599</v>
      </c>
    </row>
    <row r="31" spans="1:28">
      <c r="A31" s="4" t="str">
        <f>"20201113"</f>
        <v>20201113</v>
      </c>
      <c r="B31" s="4" t="str">
        <f>"20201113"</f>
        <v>20201113</v>
      </c>
      <c r="C31" s="4" t="str">
        <f t="shared" si="75"/>
        <v>0</v>
      </c>
      <c r="D31" s="4" t="str">
        <f t="shared" si="76"/>
        <v>00:00:00</v>
      </c>
      <c r="E31" s="4" t="str">
        <f t="shared" si="77"/>
        <v>港股通组合费</v>
      </c>
      <c r="F31" s="4" t="str">
        <f t="shared" si="78"/>
        <v/>
      </c>
      <c r="G31" s="4" t="str">
        <f t="shared" si="79"/>
        <v/>
      </c>
      <c r="H31" s="4" t="str">
        <f t="shared" si="80"/>
        <v>0.00</v>
      </c>
      <c r="I31" s="4" t="str">
        <f t="shared" si="81"/>
        <v>0</v>
      </c>
      <c r="J31" s="4" t="str">
        <f t="shared" si="69"/>
        <v>0.04</v>
      </c>
      <c r="K31" s="4" t="str">
        <f t="shared" si="70"/>
        <v>-0.04</v>
      </c>
      <c r="L31" s="4" t="str">
        <f t="shared" ref="L31:W31" si="88">"0.00"</f>
        <v>0.00</v>
      </c>
      <c r="M31" s="4" t="str">
        <f t="shared" si="83"/>
        <v>0.000</v>
      </c>
      <c r="N31" s="4" t="str">
        <f t="shared" si="72"/>
        <v>4.96</v>
      </c>
      <c r="O31" s="4" t="str">
        <f t="shared" si="84"/>
        <v>0</v>
      </c>
      <c r="P31" s="4" t="str">
        <f t="shared" si="88"/>
        <v>0.00</v>
      </c>
      <c r="Q31" s="4" t="str">
        <f t="shared" si="88"/>
        <v>0.00</v>
      </c>
      <c r="R31" s="4" t="str">
        <f t="shared" si="88"/>
        <v>0.00</v>
      </c>
      <c r="S31" s="4" t="str">
        <f t="shared" si="88"/>
        <v>0.00</v>
      </c>
      <c r="T31" s="4" t="str">
        <f t="shared" si="88"/>
        <v>0.00</v>
      </c>
      <c r="U31" s="4" t="str">
        <f t="shared" si="88"/>
        <v>0.00</v>
      </c>
      <c r="V31" s="4" t="str">
        <f t="shared" si="88"/>
        <v>0.00</v>
      </c>
      <c r="W31" s="4" t="str">
        <f t="shared" si="88"/>
        <v>0.00</v>
      </c>
      <c r="X31" s="4" t="str">
        <f t="shared" si="85"/>
        <v>0.00000</v>
      </c>
      <c r="Y31" s="4" t="str">
        <f t="shared" si="86"/>
        <v>0</v>
      </c>
      <c r="Z31" s="4" t="str">
        <f t="shared" si="87"/>
        <v>0</v>
      </c>
      <c r="AA31" s="4" t="str">
        <f t="shared" si="13"/>
        <v>人民币</v>
      </c>
      <c r="AB31" s="4" t="str">
        <f t="shared" si="14"/>
        <v>A368402599</v>
      </c>
    </row>
    <row r="32" spans="1:28">
      <c r="A32" s="4" t="str">
        <f>"20201116"</f>
        <v>20201116</v>
      </c>
      <c r="B32" s="4" t="str">
        <f>"20201116"</f>
        <v>20201116</v>
      </c>
      <c r="C32" s="4" t="str">
        <f t="shared" si="75"/>
        <v>0</v>
      </c>
      <c r="D32" s="4" t="str">
        <f t="shared" si="76"/>
        <v>00:00:00</v>
      </c>
      <c r="E32" s="4" t="str">
        <f t="shared" si="77"/>
        <v>港股通组合费</v>
      </c>
      <c r="F32" s="4" t="str">
        <f t="shared" si="78"/>
        <v/>
      </c>
      <c r="G32" s="4" t="str">
        <f t="shared" si="79"/>
        <v/>
      </c>
      <c r="H32" s="4" t="str">
        <f t="shared" si="80"/>
        <v>0.00</v>
      </c>
      <c r="I32" s="4" t="str">
        <f t="shared" si="81"/>
        <v>0</v>
      </c>
      <c r="J32" s="4" t="str">
        <f>"0.13"</f>
        <v>0.13</v>
      </c>
      <c r="K32" s="4" t="str">
        <f>"-0.13"</f>
        <v>-0.13</v>
      </c>
      <c r="L32" s="4" t="str">
        <f t="shared" ref="L32:W32" si="89">"0.00"</f>
        <v>0.00</v>
      </c>
      <c r="M32" s="4" t="str">
        <f t="shared" si="83"/>
        <v>0.000</v>
      </c>
      <c r="N32" s="4" t="str">
        <f>"4.87"</f>
        <v>4.87</v>
      </c>
      <c r="O32" s="4" t="str">
        <f t="shared" si="84"/>
        <v>0</v>
      </c>
      <c r="P32" s="4" t="str">
        <f t="shared" si="89"/>
        <v>0.00</v>
      </c>
      <c r="Q32" s="4" t="str">
        <f t="shared" si="89"/>
        <v>0.00</v>
      </c>
      <c r="R32" s="4" t="str">
        <f t="shared" si="89"/>
        <v>0.00</v>
      </c>
      <c r="S32" s="4" t="str">
        <f t="shared" si="89"/>
        <v>0.00</v>
      </c>
      <c r="T32" s="4" t="str">
        <f t="shared" si="89"/>
        <v>0.00</v>
      </c>
      <c r="U32" s="4" t="str">
        <f t="shared" si="89"/>
        <v>0.00</v>
      </c>
      <c r="V32" s="4" t="str">
        <f t="shared" si="89"/>
        <v>0.00</v>
      </c>
      <c r="W32" s="4" t="str">
        <f t="shared" si="89"/>
        <v>0.00</v>
      </c>
      <c r="X32" s="4" t="str">
        <f t="shared" si="85"/>
        <v>0.00000</v>
      </c>
      <c r="Y32" s="4" t="str">
        <f t="shared" si="86"/>
        <v>0</v>
      </c>
      <c r="Z32" s="4" t="str">
        <f t="shared" si="87"/>
        <v>0</v>
      </c>
      <c r="AA32" s="4" t="str">
        <f t="shared" si="13"/>
        <v>人民币</v>
      </c>
      <c r="AB32" s="4" t="str">
        <f t="shared" si="14"/>
        <v>A368402599</v>
      </c>
    </row>
    <row r="33" spans="1:28">
      <c r="A33" s="4" t="str">
        <f>"20201117"</f>
        <v>20201117</v>
      </c>
      <c r="B33" s="4" t="str">
        <f>"20201117"</f>
        <v>20201117</v>
      </c>
      <c r="C33" s="4" t="str">
        <f t="shared" si="75"/>
        <v>0</v>
      </c>
      <c r="D33" s="4" t="str">
        <f t="shared" si="76"/>
        <v>00:00:00</v>
      </c>
      <c r="E33" s="4" t="str">
        <f t="shared" si="77"/>
        <v>港股通组合费</v>
      </c>
      <c r="F33" s="4" t="str">
        <f t="shared" si="78"/>
        <v/>
      </c>
      <c r="G33" s="4" t="str">
        <f t="shared" si="79"/>
        <v/>
      </c>
      <c r="H33" s="4" t="str">
        <f t="shared" si="80"/>
        <v>0.00</v>
      </c>
      <c r="I33" s="4" t="str">
        <f t="shared" si="81"/>
        <v>0</v>
      </c>
      <c r="J33" s="4" t="str">
        <f t="shared" ref="J33:J36" si="90">"0.04"</f>
        <v>0.04</v>
      </c>
      <c r="K33" s="4" t="str">
        <f t="shared" ref="K33:K36" si="91">"-0.04"</f>
        <v>-0.04</v>
      </c>
      <c r="L33" s="4" t="str">
        <f t="shared" ref="L33:W33" si="92">"0.00"</f>
        <v>0.00</v>
      </c>
      <c r="M33" s="4" t="str">
        <f t="shared" si="83"/>
        <v>0.000</v>
      </c>
      <c r="N33" s="4" t="str">
        <f t="shared" ref="N33:N36" si="93">"4.96"</f>
        <v>4.96</v>
      </c>
      <c r="O33" s="4" t="str">
        <f t="shared" si="84"/>
        <v>0</v>
      </c>
      <c r="P33" s="4" t="str">
        <f t="shared" si="92"/>
        <v>0.00</v>
      </c>
      <c r="Q33" s="4" t="str">
        <f t="shared" si="92"/>
        <v>0.00</v>
      </c>
      <c r="R33" s="4" t="str">
        <f t="shared" si="92"/>
        <v>0.00</v>
      </c>
      <c r="S33" s="4" t="str">
        <f t="shared" si="92"/>
        <v>0.00</v>
      </c>
      <c r="T33" s="4" t="str">
        <f t="shared" si="92"/>
        <v>0.00</v>
      </c>
      <c r="U33" s="4" t="str">
        <f t="shared" si="92"/>
        <v>0.00</v>
      </c>
      <c r="V33" s="4" t="str">
        <f t="shared" si="92"/>
        <v>0.00</v>
      </c>
      <c r="W33" s="4" t="str">
        <f t="shared" si="92"/>
        <v>0.00</v>
      </c>
      <c r="X33" s="4" t="str">
        <f t="shared" si="85"/>
        <v>0.00000</v>
      </c>
      <c r="Y33" s="4" t="str">
        <f t="shared" si="86"/>
        <v>0</v>
      </c>
      <c r="Z33" s="4" t="str">
        <f t="shared" si="87"/>
        <v>0</v>
      </c>
      <c r="AA33" s="4" t="str">
        <f t="shared" si="13"/>
        <v>人民币</v>
      </c>
      <c r="AB33" s="4" t="str">
        <f t="shared" si="14"/>
        <v>A368402599</v>
      </c>
    </row>
    <row r="34" spans="1:28">
      <c r="A34" s="4" t="str">
        <f>"20201118"</f>
        <v>20201118</v>
      </c>
      <c r="B34" s="4" t="str">
        <f>"20201118"</f>
        <v>20201118</v>
      </c>
      <c r="C34" s="4" t="str">
        <f t="shared" si="75"/>
        <v>0</v>
      </c>
      <c r="D34" s="4" t="str">
        <f t="shared" si="76"/>
        <v>00:00:00</v>
      </c>
      <c r="E34" s="4" t="str">
        <f t="shared" si="77"/>
        <v>港股通组合费</v>
      </c>
      <c r="F34" s="4" t="str">
        <f t="shared" si="78"/>
        <v/>
      </c>
      <c r="G34" s="4" t="str">
        <f t="shared" si="79"/>
        <v/>
      </c>
      <c r="H34" s="4" t="str">
        <f t="shared" si="80"/>
        <v>0.00</v>
      </c>
      <c r="I34" s="4" t="str">
        <f t="shared" si="81"/>
        <v>0</v>
      </c>
      <c r="J34" s="4" t="str">
        <f t="shared" si="90"/>
        <v>0.04</v>
      </c>
      <c r="K34" s="4" t="str">
        <f t="shared" si="91"/>
        <v>-0.04</v>
      </c>
      <c r="L34" s="4" t="str">
        <f t="shared" ref="L34:W34" si="94">"0.00"</f>
        <v>0.00</v>
      </c>
      <c r="M34" s="4" t="str">
        <f t="shared" si="83"/>
        <v>0.000</v>
      </c>
      <c r="N34" s="4" t="str">
        <f t="shared" si="93"/>
        <v>4.96</v>
      </c>
      <c r="O34" s="4" t="str">
        <f t="shared" si="84"/>
        <v>0</v>
      </c>
      <c r="P34" s="4" t="str">
        <f t="shared" si="94"/>
        <v>0.00</v>
      </c>
      <c r="Q34" s="4" t="str">
        <f t="shared" si="94"/>
        <v>0.00</v>
      </c>
      <c r="R34" s="4" t="str">
        <f t="shared" si="94"/>
        <v>0.00</v>
      </c>
      <c r="S34" s="4" t="str">
        <f t="shared" si="94"/>
        <v>0.00</v>
      </c>
      <c r="T34" s="4" t="str">
        <f t="shared" si="94"/>
        <v>0.00</v>
      </c>
      <c r="U34" s="4" t="str">
        <f t="shared" si="94"/>
        <v>0.00</v>
      </c>
      <c r="V34" s="4" t="str">
        <f t="shared" si="94"/>
        <v>0.00</v>
      </c>
      <c r="W34" s="4" t="str">
        <f t="shared" si="94"/>
        <v>0.00</v>
      </c>
      <c r="X34" s="4" t="str">
        <f t="shared" si="85"/>
        <v>0.00000</v>
      </c>
      <c r="Y34" s="4" t="str">
        <f t="shared" si="86"/>
        <v>0</v>
      </c>
      <c r="Z34" s="4" t="str">
        <f t="shared" si="87"/>
        <v>0</v>
      </c>
      <c r="AA34" s="4" t="str">
        <f t="shared" si="13"/>
        <v>人民币</v>
      </c>
      <c r="AB34" s="4" t="str">
        <f t="shared" si="14"/>
        <v>A368402599</v>
      </c>
    </row>
    <row r="35" spans="1:28">
      <c r="A35" s="4" t="str">
        <f>"20201119"</f>
        <v>20201119</v>
      </c>
      <c r="B35" s="4" t="str">
        <f>"20201119"</f>
        <v>20201119</v>
      </c>
      <c r="C35" s="4" t="str">
        <f t="shared" si="75"/>
        <v>0</v>
      </c>
      <c r="D35" s="4" t="str">
        <f t="shared" si="76"/>
        <v>00:00:00</v>
      </c>
      <c r="E35" s="4" t="str">
        <f t="shared" si="77"/>
        <v>港股通组合费</v>
      </c>
      <c r="F35" s="4" t="str">
        <f t="shared" si="78"/>
        <v/>
      </c>
      <c r="G35" s="4" t="str">
        <f t="shared" si="79"/>
        <v/>
      </c>
      <c r="H35" s="4" t="str">
        <f t="shared" si="80"/>
        <v>0.00</v>
      </c>
      <c r="I35" s="4" t="str">
        <f t="shared" si="81"/>
        <v>0</v>
      </c>
      <c r="J35" s="4" t="str">
        <f t="shared" si="90"/>
        <v>0.04</v>
      </c>
      <c r="K35" s="4" t="str">
        <f t="shared" si="91"/>
        <v>-0.04</v>
      </c>
      <c r="L35" s="4" t="str">
        <f t="shared" ref="L35:W35" si="95">"0.00"</f>
        <v>0.00</v>
      </c>
      <c r="M35" s="4" t="str">
        <f t="shared" si="83"/>
        <v>0.000</v>
      </c>
      <c r="N35" s="4" t="str">
        <f t="shared" si="93"/>
        <v>4.96</v>
      </c>
      <c r="O35" s="4" t="str">
        <f t="shared" si="84"/>
        <v>0</v>
      </c>
      <c r="P35" s="4" t="str">
        <f t="shared" si="95"/>
        <v>0.00</v>
      </c>
      <c r="Q35" s="4" t="str">
        <f t="shared" si="95"/>
        <v>0.00</v>
      </c>
      <c r="R35" s="4" t="str">
        <f t="shared" si="95"/>
        <v>0.00</v>
      </c>
      <c r="S35" s="4" t="str">
        <f t="shared" si="95"/>
        <v>0.00</v>
      </c>
      <c r="T35" s="4" t="str">
        <f t="shared" si="95"/>
        <v>0.00</v>
      </c>
      <c r="U35" s="4" t="str">
        <f t="shared" si="95"/>
        <v>0.00</v>
      </c>
      <c r="V35" s="4" t="str">
        <f t="shared" si="95"/>
        <v>0.00</v>
      </c>
      <c r="W35" s="4" t="str">
        <f t="shared" si="95"/>
        <v>0.00</v>
      </c>
      <c r="X35" s="4" t="str">
        <f t="shared" si="85"/>
        <v>0.00000</v>
      </c>
      <c r="Y35" s="4" t="str">
        <f t="shared" si="86"/>
        <v>0</v>
      </c>
      <c r="Z35" s="4" t="str">
        <f t="shared" si="87"/>
        <v>0</v>
      </c>
      <c r="AA35" s="4" t="str">
        <f t="shared" si="13"/>
        <v>人民币</v>
      </c>
      <c r="AB35" s="4" t="str">
        <f t="shared" si="14"/>
        <v>A368402599</v>
      </c>
    </row>
    <row r="36" spans="1:28">
      <c r="A36" s="4" t="str">
        <f>"20201120"</f>
        <v>20201120</v>
      </c>
      <c r="B36" s="4" t="str">
        <f>"20201120"</f>
        <v>20201120</v>
      </c>
      <c r="C36" s="4" t="str">
        <f t="shared" si="75"/>
        <v>0</v>
      </c>
      <c r="D36" s="4" t="str">
        <f t="shared" si="76"/>
        <v>00:00:00</v>
      </c>
      <c r="E36" s="4" t="str">
        <f t="shared" si="77"/>
        <v>港股通组合费</v>
      </c>
      <c r="F36" s="4" t="str">
        <f t="shared" si="78"/>
        <v/>
      </c>
      <c r="G36" s="4" t="str">
        <f t="shared" si="79"/>
        <v/>
      </c>
      <c r="H36" s="4" t="str">
        <f t="shared" si="80"/>
        <v>0.00</v>
      </c>
      <c r="I36" s="4" t="str">
        <f t="shared" si="81"/>
        <v>0</v>
      </c>
      <c r="J36" s="4" t="str">
        <f t="shared" si="90"/>
        <v>0.04</v>
      </c>
      <c r="K36" s="4" t="str">
        <f t="shared" si="91"/>
        <v>-0.04</v>
      </c>
      <c r="L36" s="4" t="str">
        <f t="shared" ref="L36:W36" si="96">"0.00"</f>
        <v>0.00</v>
      </c>
      <c r="M36" s="4" t="str">
        <f t="shared" si="83"/>
        <v>0.000</v>
      </c>
      <c r="N36" s="4" t="str">
        <f t="shared" si="93"/>
        <v>4.96</v>
      </c>
      <c r="O36" s="4" t="str">
        <f t="shared" si="84"/>
        <v>0</v>
      </c>
      <c r="P36" s="4" t="str">
        <f t="shared" si="96"/>
        <v>0.00</v>
      </c>
      <c r="Q36" s="4" t="str">
        <f t="shared" si="96"/>
        <v>0.00</v>
      </c>
      <c r="R36" s="4" t="str">
        <f t="shared" si="96"/>
        <v>0.00</v>
      </c>
      <c r="S36" s="4" t="str">
        <f t="shared" si="96"/>
        <v>0.00</v>
      </c>
      <c r="T36" s="4" t="str">
        <f t="shared" si="96"/>
        <v>0.00</v>
      </c>
      <c r="U36" s="4" t="str">
        <f t="shared" si="96"/>
        <v>0.00</v>
      </c>
      <c r="V36" s="4" t="str">
        <f t="shared" si="96"/>
        <v>0.00</v>
      </c>
      <c r="W36" s="4" t="str">
        <f t="shared" si="96"/>
        <v>0.00</v>
      </c>
      <c r="X36" s="4" t="str">
        <f t="shared" si="85"/>
        <v>0.00000</v>
      </c>
      <c r="Y36" s="4" t="str">
        <f t="shared" si="86"/>
        <v>0</v>
      </c>
      <c r="Z36" s="4" t="str">
        <f t="shared" si="87"/>
        <v>0</v>
      </c>
      <c r="AA36" s="4" t="str">
        <f t="shared" si="13"/>
        <v>人民币</v>
      </c>
      <c r="AB36" s="4" t="str">
        <f t="shared" si="14"/>
        <v>A368402599</v>
      </c>
    </row>
    <row r="37" spans="1:28">
      <c r="A37" s="4" t="str">
        <f>"20201123"</f>
        <v>20201123</v>
      </c>
      <c r="B37" s="4" t="str">
        <f>"20201123"</f>
        <v>20201123</v>
      </c>
      <c r="C37" s="4" t="str">
        <f t="shared" si="75"/>
        <v>0</v>
      </c>
      <c r="D37" s="4" t="str">
        <f t="shared" si="76"/>
        <v>00:00:00</v>
      </c>
      <c r="E37" s="4" t="str">
        <f t="shared" si="77"/>
        <v>港股通组合费</v>
      </c>
      <c r="F37" s="4" t="str">
        <f t="shared" si="78"/>
        <v/>
      </c>
      <c r="G37" s="4" t="str">
        <f t="shared" si="79"/>
        <v/>
      </c>
      <c r="H37" s="4" t="str">
        <f t="shared" si="80"/>
        <v>0.00</v>
      </c>
      <c r="I37" s="4" t="str">
        <f t="shared" si="81"/>
        <v>0</v>
      </c>
      <c r="J37" s="4" t="str">
        <f>"0.13"</f>
        <v>0.13</v>
      </c>
      <c r="K37" s="4" t="str">
        <f>"-0.13"</f>
        <v>-0.13</v>
      </c>
      <c r="L37" s="4" t="str">
        <f t="shared" ref="L37:W37" si="97">"0.00"</f>
        <v>0.00</v>
      </c>
      <c r="M37" s="4" t="str">
        <f t="shared" si="83"/>
        <v>0.000</v>
      </c>
      <c r="N37" s="4" t="str">
        <f>"371.57"</f>
        <v>371.57</v>
      </c>
      <c r="O37" s="4" t="str">
        <f t="shared" si="84"/>
        <v>0</v>
      </c>
      <c r="P37" s="4" t="str">
        <f t="shared" si="97"/>
        <v>0.00</v>
      </c>
      <c r="Q37" s="4" t="str">
        <f t="shared" si="97"/>
        <v>0.00</v>
      </c>
      <c r="R37" s="4" t="str">
        <f t="shared" si="97"/>
        <v>0.00</v>
      </c>
      <c r="S37" s="4" t="str">
        <f t="shared" si="97"/>
        <v>0.00</v>
      </c>
      <c r="T37" s="4" t="str">
        <f t="shared" si="97"/>
        <v>0.00</v>
      </c>
      <c r="U37" s="4" t="str">
        <f t="shared" si="97"/>
        <v>0.00</v>
      </c>
      <c r="V37" s="4" t="str">
        <f t="shared" si="97"/>
        <v>0.00</v>
      </c>
      <c r="W37" s="4" t="str">
        <f t="shared" si="97"/>
        <v>0.00</v>
      </c>
      <c r="X37" s="4" t="str">
        <f t="shared" si="85"/>
        <v>0.00000</v>
      </c>
      <c r="Y37" s="4" t="str">
        <f t="shared" si="86"/>
        <v>0</v>
      </c>
      <c r="Z37" s="4" t="str">
        <f t="shared" si="87"/>
        <v>0</v>
      </c>
      <c r="AA37" s="4" t="str">
        <f t="shared" si="13"/>
        <v>人民币</v>
      </c>
      <c r="AB37" s="4" t="str">
        <f t="shared" si="14"/>
        <v>A368402599</v>
      </c>
    </row>
    <row r="38" spans="1:28">
      <c r="A38" s="4" t="str">
        <f>"20201124"</f>
        <v>20201124</v>
      </c>
      <c r="B38" s="4" t="str">
        <f>"20201124"</f>
        <v>20201124</v>
      </c>
      <c r="C38" s="4" t="str">
        <f t="shared" si="75"/>
        <v>0</v>
      </c>
      <c r="D38" s="4" t="str">
        <f t="shared" si="76"/>
        <v>00:00:00</v>
      </c>
      <c r="E38" s="4" t="str">
        <f t="shared" si="77"/>
        <v>港股通组合费</v>
      </c>
      <c r="F38" s="4" t="str">
        <f t="shared" si="78"/>
        <v/>
      </c>
      <c r="G38" s="4" t="str">
        <f t="shared" si="79"/>
        <v/>
      </c>
      <c r="H38" s="4" t="str">
        <f t="shared" si="80"/>
        <v>0.00</v>
      </c>
      <c r="I38" s="4" t="str">
        <f t="shared" si="81"/>
        <v>0</v>
      </c>
      <c r="J38" s="4" t="str">
        <f t="shared" ref="J38:J46" si="98">"0.04"</f>
        <v>0.04</v>
      </c>
      <c r="K38" s="4" t="str">
        <f t="shared" ref="K38:K46" si="99">"-0.04"</f>
        <v>-0.04</v>
      </c>
      <c r="L38" s="4" t="str">
        <f t="shared" ref="L38:W38" si="100">"0.00"</f>
        <v>0.00</v>
      </c>
      <c r="M38" s="4" t="str">
        <f t="shared" si="83"/>
        <v>0.000</v>
      </c>
      <c r="N38" s="4" t="str">
        <f>"371.53"</f>
        <v>371.53</v>
      </c>
      <c r="O38" s="4" t="str">
        <f t="shared" si="84"/>
        <v>0</v>
      </c>
      <c r="P38" s="4" t="str">
        <f t="shared" si="100"/>
        <v>0.00</v>
      </c>
      <c r="Q38" s="4" t="str">
        <f t="shared" si="100"/>
        <v>0.00</v>
      </c>
      <c r="R38" s="4" t="str">
        <f t="shared" si="100"/>
        <v>0.00</v>
      </c>
      <c r="S38" s="4" t="str">
        <f t="shared" si="100"/>
        <v>0.00</v>
      </c>
      <c r="T38" s="4" t="str">
        <f t="shared" si="100"/>
        <v>0.00</v>
      </c>
      <c r="U38" s="4" t="str">
        <f t="shared" si="100"/>
        <v>0.00</v>
      </c>
      <c r="V38" s="4" t="str">
        <f t="shared" si="100"/>
        <v>0.00</v>
      </c>
      <c r="W38" s="4" t="str">
        <f t="shared" si="100"/>
        <v>0.00</v>
      </c>
      <c r="X38" s="4" t="str">
        <f t="shared" si="85"/>
        <v>0.00000</v>
      </c>
      <c r="Y38" s="4" t="str">
        <f t="shared" si="86"/>
        <v>0</v>
      </c>
      <c r="Z38" s="4" t="str">
        <f t="shared" si="87"/>
        <v>0</v>
      </c>
      <c r="AA38" s="4" t="str">
        <f t="shared" si="13"/>
        <v>人民币</v>
      </c>
      <c r="AB38" s="4" t="str">
        <f t="shared" si="14"/>
        <v>A368402599</v>
      </c>
    </row>
    <row r="39" spans="1:28">
      <c r="A39" s="4" t="str">
        <f>"20201125"</f>
        <v>20201125</v>
      </c>
      <c r="B39" s="4" t="str">
        <f>"20201125"</f>
        <v>20201125</v>
      </c>
      <c r="C39" s="4" t="str">
        <f t="shared" si="75"/>
        <v>0</v>
      </c>
      <c r="D39" s="4" t="str">
        <f t="shared" si="76"/>
        <v>00:00:00</v>
      </c>
      <c r="E39" s="4" t="str">
        <f t="shared" si="77"/>
        <v>港股通组合费</v>
      </c>
      <c r="F39" s="4" t="str">
        <f t="shared" si="78"/>
        <v/>
      </c>
      <c r="G39" s="4" t="str">
        <f t="shared" si="79"/>
        <v/>
      </c>
      <c r="H39" s="4" t="str">
        <f t="shared" si="80"/>
        <v>0.00</v>
      </c>
      <c r="I39" s="4" t="str">
        <f t="shared" si="81"/>
        <v>0</v>
      </c>
      <c r="J39" s="4" t="str">
        <f t="shared" si="98"/>
        <v>0.04</v>
      </c>
      <c r="K39" s="4" t="str">
        <f t="shared" si="99"/>
        <v>-0.04</v>
      </c>
      <c r="L39" s="4" t="str">
        <f t="shared" ref="L39:W39" si="101">"0.00"</f>
        <v>0.00</v>
      </c>
      <c r="M39" s="4" t="str">
        <f t="shared" si="83"/>
        <v>0.000</v>
      </c>
      <c r="N39" s="4" t="str">
        <f>"371.49"</f>
        <v>371.49</v>
      </c>
      <c r="O39" s="4" t="str">
        <f t="shared" si="84"/>
        <v>0</v>
      </c>
      <c r="P39" s="4" t="str">
        <f t="shared" si="101"/>
        <v>0.00</v>
      </c>
      <c r="Q39" s="4" t="str">
        <f t="shared" si="101"/>
        <v>0.00</v>
      </c>
      <c r="R39" s="4" t="str">
        <f t="shared" si="101"/>
        <v>0.00</v>
      </c>
      <c r="S39" s="4" t="str">
        <f t="shared" si="101"/>
        <v>0.00</v>
      </c>
      <c r="T39" s="4" t="str">
        <f t="shared" si="101"/>
        <v>0.00</v>
      </c>
      <c r="U39" s="4" t="str">
        <f t="shared" si="101"/>
        <v>0.00</v>
      </c>
      <c r="V39" s="4" t="str">
        <f t="shared" si="101"/>
        <v>0.00</v>
      </c>
      <c r="W39" s="4" t="str">
        <f t="shared" si="101"/>
        <v>0.00</v>
      </c>
      <c r="X39" s="4" t="str">
        <f t="shared" si="85"/>
        <v>0.00000</v>
      </c>
      <c r="Y39" s="4" t="str">
        <f t="shared" si="86"/>
        <v>0</v>
      </c>
      <c r="Z39" s="4" t="str">
        <f t="shared" si="87"/>
        <v>0</v>
      </c>
      <c r="AA39" s="4" t="str">
        <f t="shared" si="13"/>
        <v>人民币</v>
      </c>
      <c r="AB39" s="4" t="str">
        <f t="shared" si="14"/>
        <v>A368402599</v>
      </c>
    </row>
    <row r="40" spans="1:28">
      <c r="A40" s="4" t="str">
        <f>"20201126"</f>
        <v>20201126</v>
      </c>
      <c r="B40" s="4" t="str">
        <f>"20201126"</f>
        <v>20201126</v>
      </c>
      <c r="C40" s="4" t="str">
        <f t="shared" si="75"/>
        <v>0</v>
      </c>
      <c r="D40" s="4" t="str">
        <f t="shared" si="76"/>
        <v>00:00:00</v>
      </c>
      <c r="E40" s="4" t="str">
        <f t="shared" si="77"/>
        <v>港股通组合费</v>
      </c>
      <c r="F40" s="4" t="str">
        <f t="shared" si="78"/>
        <v/>
      </c>
      <c r="G40" s="4" t="str">
        <f t="shared" si="79"/>
        <v/>
      </c>
      <c r="H40" s="4" t="str">
        <f t="shared" si="80"/>
        <v>0.00</v>
      </c>
      <c r="I40" s="4" t="str">
        <f t="shared" si="81"/>
        <v>0</v>
      </c>
      <c r="J40" s="4" t="str">
        <f>"0.05"</f>
        <v>0.05</v>
      </c>
      <c r="K40" s="4" t="str">
        <f>"-0.05"</f>
        <v>-0.05</v>
      </c>
      <c r="L40" s="4" t="str">
        <f t="shared" ref="L40:W40" si="102">"0.00"</f>
        <v>0.00</v>
      </c>
      <c r="M40" s="4" t="str">
        <f t="shared" si="83"/>
        <v>0.000</v>
      </c>
      <c r="N40" s="4" t="str">
        <f>"371.44"</f>
        <v>371.44</v>
      </c>
      <c r="O40" s="4" t="str">
        <f t="shared" si="84"/>
        <v>0</v>
      </c>
      <c r="P40" s="4" t="str">
        <f t="shared" si="102"/>
        <v>0.00</v>
      </c>
      <c r="Q40" s="4" t="str">
        <f t="shared" si="102"/>
        <v>0.00</v>
      </c>
      <c r="R40" s="4" t="str">
        <f t="shared" si="102"/>
        <v>0.00</v>
      </c>
      <c r="S40" s="4" t="str">
        <f t="shared" si="102"/>
        <v>0.00</v>
      </c>
      <c r="T40" s="4" t="str">
        <f t="shared" si="102"/>
        <v>0.00</v>
      </c>
      <c r="U40" s="4" t="str">
        <f t="shared" si="102"/>
        <v>0.00</v>
      </c>
      <c r="V40" s="4" t="str">
        <f t="shared" si="102"/>
        <v>0.00</v>
      </c>
      <c r="W40" s="4" t="str">
        <f t="shared" si="102"/>
        <v>0.00</v>
      </c>
      <c r="X40" s="4" t="str">
        <f t="shared" si="85"/>
        <v>0.00000</v>
      </c>
      <c r="Y40" s="4" t="str">
        <f t="shared" si="86"/>
        <v>0</v>
      </c>
      <c r="Z40" s="4" t="str">
        <f t="shared" si="87"/>
        <v>0</v>
      </c>
      <c r="AA40" s="4" t="str">
        <f t="shared" si="13"/>
        <v>人民币</v>
      </c>
      <c r="AB40" s="4" t="str">
        <f t="shared" si="14"/>
        <v>A368402599</v>
      </c>
    </row>
    <row r="41" spans="1:28">
      <c r="A41" s="4" t="str">
        <f>"20201127"</f>
        <v>20201127</v>
      </c>
      <c r="B41" s="4" t="str">
        <f>"20201127"</f>
        <v>20201127</v>
      </c>
      <c r="C41" s="4" t="str">
        <f t="shared" si="75"/>
        <v>0</v>
      </c>
      <c r="D41" s="4" t="str">
        <f t="shared" si="76"/>
        <v>00:00:00</v>
      </c>
      <c r="E41" s="4" t="str">
        <f t="shared" si="77"/>
        <v>港股通组合费</v>
      </c>
      <c r="F41" s="4" t="str">
        <f t="shared" si="78"/>
        <v/>
      </c>
      <c r="G41" s="4" t="str">
        <f t="shared" si="79"/>
        <v/>
      </c>
      <c r="H41" s="4" t="str">
        <f t="shared" si="80"/>
        <v>0.00</v>
      </c>
      <c r="I41" s="4" t="str">
        <f t="shared" si="81"/>
        <v>0</v>
      </c>
      <c r="J41" s="4" t="str">
        <f>"0.05"</f>
        <v>0.05</v>
      </c>
      <c r="K41" s="4" t="str">
        <f>"-0.05"</f>
        <v>-0.05</v>
      </c>
      <c r="L41" s="4" t="str">
        <f t="shared" ref="L41:W41" si="103">"0.00"</f>
        <v>0.00</v>
      </c>
      <c r="M41" s="4" t="str">
        <f t="shared" si="83"/>
        <v>0.000</v>
      </c>
      <c r="N41" s="4" t="str">
        <f>"7940.95"</f>
        <v>7940.95</v>
      </c>
      <c r="O41" s="4" t="str">
        <f t="shared" si="84"/>
        <v>0</v>
      </c>
      <c r="P41" s="4" t="str">
        <f t="shared" si="103"/>
        <v>0.00</v>
      </c>
      <c r="Q41" s="4" t="str">
        <f t="shared" si="103"/>
        <v>0.00</v>
      </c>
      <c r="R41" s="4" t="str">
        <f t="shared" si="103"/>
        <v>0.00</v>
      </c>
      <c r="S41" s="4" t="str">
        <f t="shared" si="103"/>
        <v>0.00</v>
      </c>
      <c r="T41" s="4" t="str">
        <f t="shared" si="103"/>
        <v>0.00</v>
      </c>
      <c r="U41" s="4" t="str">
        <f t="shared" si="103"/>
        <v>0.00</v>
      </c>
      <c r="V41" s="4" t="str">
        <f t="shared" si="103"/>
        <v>0.00</v>
      </c>
      <c r="W41" s="4" t="str">
        <f t="shared" si="103"/>
        <v>0.00</v>
      </c>
      <c r="X41" s="4" t="str">
        <f t="shared" si="85"/>
        <v>0.00000</v>
      </c>
      <c r="Y41" s="4" t="str">
        <f t="shared" si="86"/>
        <v>0</v>
      </c>
      <c r="Z41" s="4" t="str">
        <f t="shared" si="87"/>
        <v>0</v>
      </c>
      <c r="AA41" s="4" t="str">
        <f t="shared" si="13"/>
        <v>人民币</v>
      </c>
      <c r="AB41" s="4" t="str">
        <f t="shared" si="14"/>
        <v>A368402599</v>
      </c>
    </row>
    <row r="42" spans="1:28">
      <c r="A42" s="4" t="str">
        <f>"20201130"</f>
        <v>20201130</v>
      </c>
      <c r="B42" s="4" t="str">
        <f>"20201130"</f>
        <v>20201130</v>
      </c>
      <c r="C42" s="4" t="str">
        <f t="shared" si="75"/>
        <v>0</v>
      </c>
      <c r="D42" s="4" t="str">
        <f t="shared" si="76"/>
        <v>00:00:00</v>
      </c>
      <c r="E42" s="4" t="str">
        <f t="shared" si="77"/>
        <v>港股通组合费</v>
      </c>
      <c r="F42" s="4" t="str">
        <f t="shared" si="78"/>
        <v/>
      </c>
      <c r="G42" s="4" t="str">
        <f t="shared" si="79"/>
        <v/>
      </c>
      <c r="H42" s="4" t="str">
        <f t="shared" si="80"/>
        <v>0.00</v>
      </c>
      <c r="I42" s="4" t="str">
        <f t="shared" si="81"/>
        <v>0</v>
      </c>
      <c r="J42" s="4" t="str">
        <f>"0.15"</f>
        <v>0.15</v>
      </c>
      <c r="K42" s="4" t="str">
        <f>"-0.15"</f>
        <v>-0.15</v>
      </c>
      <c r="L42" s="4" t="str">
        <f t="shared" ref="L42:W42" si="104">"0.00"</f>
        <v>0.00</v>
      </c>
      <c r="M42" s="4" t="str">
        <f t="shared" si="83"/>
        <v>0.000</v>
      </c>
      <c r="N42" s="4" t="str">
        <f>"4.85"</f>
        <v>4.85</v>
      </c>
      <c r="O42" s="4" t="str">
        <f t="shared" si="84"/>
        <v>0</v>
      </c>
      <c r="P42" s="4" t="str">
        <f t="shared" si="104"/>
        <v>0.00</v>
      </c>
      <c r="Q42" s="4" t="str">
        <f t="shared" si="104"/>
        <v>0.00</v>
      </c>
      <c r="R42" s="4" t="str">
        <f t="shared" si="104"/>
        <v>0.00</v>
      </c>
      <c r="S42" s="4" t="str">
        <f t="shared" si="104"/>
        <v>0.00</v>
      </c>
      <c r="T42" s="4" t="str">
        <f t="shared" si="104"/>
        <v>0.00</v>
      </c>
      <c r="U42" s="4" t="str">
        <f t="shared" si="104"/>
        <v>0.00</v>
      </c>
      <c r="V42" s="4" t="str">
        <f t="shared" si="104"/>
        <v>0.00</v>
      </c>
      <c r="W42" s="4" t="str">
        <f t="shared" si="104"/>
        <v>0.00</v>
      </c>
      <c r="X42" s="4" t="str">
        <f t="shared" si="85"/>
        <v>0.00000</v>
      </c>
      <c r="Y42" s="4" t="str">
        <f t="shared" si="86"/>
        <v>0</v>
      </c>
      <c r="Z42" s="4" t="str">
        <f t="shared" si="87"/>
        <v>0</v>
      </c>
      <c r="AA42" s="4" t="str">
        <f t="shared" si="13"/>
        <v>人民币</v>
      </c>
      <c r="AB42" s="4" t="str">
        <f t="shared" si="14"/>
        <v>A368402599</v>
      </c>
    </row>
    <row r="43" spans="1:28">
      <c r="A43" s="4" t="str">
        <f>"20201201"</f>
        <v>20201201</v>
      </c>
      <c r="B43" s="4" t="str">
        <f>"20201201"</f>
        <v>20201201</v>
      </c>
      <c r="C43" s="4" t="str">
        <f t="shared" si="75"/>
        <v>0</v>
      </c>
      <c r="D43" s="4" t="str">
        <f t="shared" si="76"/>
        <v>00:00:00</v>
      </c>
      <c r="E43" s="4" t="str">
        <f t="shared" si="77"/>
        <v>港股通组合费</v>
      </c>
      <c r="F43" s="4" t="str">
        <f t="shared" si="78"/>
        <v/>
      </c>
      <c r="G43" s="4" t="str">
        <f t="shared" si="79"/>
        <v/>
      </c>
      <c r="H43" s="4" t="str">
        <f t="shared" si="80"/>
        <v>0.00</v>
      </c>
      <c r="I43" s="4" t="str">
        <f t="shared" si="81"/>
        <v>0</v>
      </c>
      <c r="J43" s="4" t="str">
        <f t="shared" si="98"/>
        <v>0.04</v>
      </c>
      <c r="K43" s="4" t="str">
        <f t="shared" si="99"/>
        <v>-0.04</v>
      </c>
      <c r="L43" s="4" t="str">
        <f t="shared" ref="L43:W43" si="105">"0.00"</f>
        <v>0.00</v>
      </c>
      <c r="M43" s="4" t="str">
        <f t="shared" si="83"/>
        <v>0.000</v>
      </c>
      <c r="N43" s="4" t="str">
        <f t="shared" ref="N43:N46" si="106">"4.96"</f>
        <v>4.96</v>
      </c>
      <c r="O43" s="4" t="str">
        <f t="shared" si="84"/>
        <v>0</v>
      </c>
      <c r="P43" s="4" t="str">
        <f t="shared" si="105"/>
        <v>0.00</v>
      </c>
      <c r="Q43" s="4" t="str">
        <f t="shared" si="105"/>
        <v>0.00</v>
      </c>
      <c r="R43" s="4" t="str">
        <f t="shared" si="105"/>
        <v>0.00</v>
      </c>
      <c r="S43" s="4" t="str">
        <f t="shared" si="105"/>
        <v>0.00</v>
      </c>
      <c r="T43" s="4" t="str">
        <f t="shared" si="105"/>
        <v>0.00</v>
      </c>
      <c r="U43" s="4" t="str">
        <f t="shared" si="105"/>
        <v>0.00</v>
      </c>
      <c r="V43" s="4" t="str">
        <f t="shared" si="105"/>
        <v>0.00</v>
      </c>
      <c r="W43" s="4" t="str">
        <f t="shared" si="105"/>
        <v>0.00</v>
      </c>
      <c r="X43" s="4" t="str">
        <f t="shared" si="85"/>
        <v>0.00000</v>
      </c>
      <c r="Y43" s="4" t="str">
        <f t="shared" si="86"/>
        <v>0</v>
      </c>
      <c r="Z43" s="4" t="str">
        <f t="shared" si="87"/>
        <v>0</v>
      </c>
      <c r="AA43" s="4" t="str">
        <f t="shared" si="13"/>
        <v>人民币</v>
      </c>
      <c r="AB43" s="4" t="str">
        <f t="shared" si="14"/>
        <v>A368402599</v>
      </c>
    </row>
    <row r="44" spans="1:28">
      <c r="A44" s="4" t="str">
        <f>"20201202"</f>
        <v>20201202</v>
      </c>
      <c r="B44" s="4" t="str">
        <f>"20201202"</f>
        <v>20201202</v>
      </c>
      <c r="C44" s="4" t="str">
        <f t="shared" si="75"/>
        <v>0</v>
      </c>
      <c r="D44" s="4" t="str">
        <f t="shared" si="76"/>
        <v>00:00:00</v>
      </c>
      <c r="E44" s="4" t="str">
        <f t="shared" si="77"/>
        <v>港股通组合费</v>
      </c>
      <c r="F44" s="4" t="str">
        <f t="shared" si="78"/>
        <v/>
      </c>
      <c r="G44" s="4" t="str">
        <f t="shared" si="79"/>
        <v/>
      </c>
      <c r="H44" s="4" t="str">
        <f t="shared" si="80"/>
        <v>0.00</v>
      </c>
      <c r="I44" s="4" t="str">
        <f t="shared" si="81"/>
        <v>0</v>
      </c>
      <c r="J44" s="4" t="str">
        <f t="shared" si="98"/>
        <v>0.04</v>
      </c>
      <c r="K44" s="4" t="str">
        <f t="shared" si="99"/>
        <v>-0.04</v>
      </c>
      <c r="L44" s="4" t="str">
        <f t="shared" ref="L44:W44" si="107">"0.00"</f>
        <v>0.00</v>
      </c>
      <c r="M44" s="4" t="str">
        <f t="shared" si="83"/>
        <v>0.000</v>
      </c>
      <c r="N44" s="4" t="str">
        <f t="shared" si="106"/>
        <v>4.96</v>
      </c>
      <c r="O44" s="4" t="str">
        <f t="shared" si="84"/>
        <v>0</v>
      </c>
      <c r="P44" s="4" t="str">
        <f t="shared" si="107"/>
        <v>0.00</v>
      </c>
      <c r="Q44" s="4" t="str">
        <f t="shared" si="107"/>
        <v>0.00</v>
      </c>
      <c r="R44" s="4" t="str">
        <f t="shared" si="107"/>
        <v>0.00</v>
      </c>
      <c r="S44" s="4" t="str">
        <f t="shared" si="107"/>
        <v>0.00</v>
      </c>
      <c r="T44" s="4" t="str">
        <f t="shared" si="107"/>
        <v>0.00</v>
      </c>
      <c r="U44" s="4" t="str">
        <f t="shared" si="107"/>
        <v>0.00</v>
      </c>
      <c r="V44" s="4" t="str">
        <f t="shared" si="107"/>
        <v>0.00</v>
      </c>
      <c r="W44" s="4" t="str">
        <f t="shared" si="107"/>
        <v>0.00</v>
      </c>
      <c r="X44" s="4" t="str">
        <f t="shared" si="85"/>
        <v>0.00000</v>
      </c>
      <c r="Y44" s="4" t="str">
        <f t="shared" si="86"/>
        <v>0</v>
      </c>
      <c r="Z44" s="4" t="str">
        <f t="shared" si="87"/>
        <v>0</v>
      </c>
      <c r="AA44" s="4" t="str">
        <f t="shared" si="13"/>
        <v>人民币</v>
      </c>
      <c r="AB44" s="4" t="str">
        <f t="shared" si="14"/>
        <v>A368402599</v>
      </c>
    </row>
    <row r="45" spans="1:28">
      <c r="A45" s="4" t="str">
        <f>"20201203"</f>
        <v>20201203</v>
      </c>
      <c r="B45" s="4" t="str">
        <f>"20201203"</f>
        <v>20201203</v>
      </c>
      <c r="C45" s="4" t="str">
        <f t="shared" si="75"/>
        <v>0</v>
      </c>
      <c r="D45" s="4" t="str">
        <f t="shared" si="76"/>
        <v>00:00:00</v>
      </c>
      <c r="E45" s="4" t="str">
        <f t="shared" si="77"/>
        <v>港股通组合费</v>
      </c>
      <c r="F45" s="4" t="str">
        <f t="shared" si="78"/>
        <v/>
      </c>
      <c r="G45" s="4" t="str">
        <f t="shared" si="79"/>
        <v/>
      </c>
      <c r="H45" s="4" t="str">
        <f t="shared" si="80"/>
        <v>0.00</v>
      </c>
      <c r="I45" s="4" t="str">
        <f t="shared" si="81"/>
        <v>0</v>
      </c>
      <c r="J45" s="4" t="str">
        <f t="shared" si="98"/>
        <v>0.04</v>
      </c>
      <c r="K45" s="4" t="str">
        <f t="shared" si="99"/>
        <v>-0.04</v>
      </c>
      <c r="L45" s="4" t="str">
        <f t="shared" ref="L45:W45" si="108">"0.00"</f>
        <v>0.00</v>
      </c>
      <c r="M45" s="4" t="str">
        <f t="shared" si="83"/>
        <v>0.000</v>
      </c>
      <c r="N45" s="4" t="str">
        <f t="shared" si="106"/>
        <v>4.96</v>
      </c>
      <c r="O45" s="4" t="str">
        <f t="shared" si="84"/>
        <v>0</v>
      </c>
      <c r="P45" s="4" t="str">
        <f t="shared" si="108"/>
        <v>0.00</v>
      </c>
      <c r="Q45" s="4" t="str">
        <f t="shared" si="108"/>
        <v>0.00</v>
      </c>
      <c r="R45" s="4" t="str">
        <f t="shared" si="108"/>
        <v>0.00</v>
      </c>
      <c r="S45" s="4" t="str">
        <f t="shared" si="108"/>
        <v>0.00</v>
      </c>
      <c r="T45" s="4" t="str">
        <f t="shared" si="108"/>
        <v>0.00</v>
      </c>
      <c r="U45" s="4" t="str">
        <f t="shared" si="108"/>
        <v>0.00</v>
      </c>
      <c r="V45" s="4" t="str">
        <f t="shared" si="108"/>
        <v>0.00</v>
      </c>
      <c r="W45" s="4" t="str">
        <f t="shared" si="108"/>
        <v>0.00</v>
      </c>
      <c r="X45" s="4" t="str">
        <f t="shared" si="85"/>
        <v>0.00000</v>
      </c>
      <c r="Y45" s="4" t="str">
        <f t="shared" si="86"/>
        <v>0</v>
      </c>
      <c r="Z45" s="4" t="str">
        <f t="shared" si="87"/>
        <v>0</v>
      </c>
      <c r="AA45" s="4" t="str">
        <f t="shared" si="13"/>
        <v>人民币</v>
      </c>
      <c r="AB45" s="4" t="str">
        <f t="shared" si="14"/>
        <v>A368402599</v>
      </c>
    </row>
    <row r="46" spans="1:28">
      <c r="A46" s="4" t="str">
        <f>"20201204"</f>
        <v>20201204</v>
      </c>
      <c r="B46" s="4" t="str">
        <f>"20201204"</f>
        <v>20201204</v>
      </c>
      <c r="C46" s="4" t="str">
        <f t="shared" si="75"/>
        <v>0</v>
      </c>
      <c r="D46" s="4" t="str">
        <f t="shared" si="76"/>
        <v>00:00:00</v>
      </c>
      <c r="E46" s="4" t="str">
        <f t="shared" si="77"/>
        <v>港股通组合费</v>
      </c>
      <c r="F46" s="4" t="str">
        <f t="shared" si="78"/>
        <v/>
      </c>
      <c r="G46" s="4" t="str">
        <f t="shared" si="79"/>
        <v/>
      </c>
      <c r="H46" s="4" t="str">
        <f t="shared" si="80"/>
        <v>0.00</v>
      </c>
      <c r="I46" s="4" t="str">
        <f t="shared" si="81"/>
        <v>0</v>
      </c>
      <c r="J46" s="4" t="str">
        <f t="shared" si="98"/>
        <v>0.04</v>
      </c>
      <c r="K46" s="4" t="str">
        <f t="shared" si="99"/>
        <v>-0.04</v>
      </c>
      <c r="L46" s="4" t="str">
        <f t="shared" ref="L46:W46" si="109">"0.00"</f>
        <v>0.00</v>
      </c>
      <c r="M46" s="4" t="str">
        <f t="shared" si="83"/>
        <v>0.000</v>
      </c>
      <c r="N46" s="4" t="str">
        <f t="shared" si="106"/>
        <v>4.96</v>
      </c>
      <c r="O46" s="4" t="str">
        <f t="shared" si="84"/>
        <v>0</v>
      </c>
      <c r="P46" s="4" t="str">
        <f t="shared" si="109"/>
        <v>0.00</v>
      </c>
      <c r="Q46" s="4" t="str">
        <f t="shared" si="109"/>
        <v>0.00</v>
      </c>
      <c r="R46" s="4" t="str">
        <f t="shared" si="109"/>
        <v>0.00</v>
      </c>
      <c r="S46" s="4" t="str">
        <f t="shared" si="109"/>
        <v>0.00</v>
      </c>
      <c r="T46" s="4" t="str">
        <f t="shared" si="109"/>
        <v>0.00</v>
      </c>
      <c r="U46" s="4" t="str">
        <f t="shared" si="109"/>
        <v>0.00</v>
      </c>
      <c r="V46" s="4" t="str">
        <f t="shared" si="109"/>
        <v>0.00</v>
      </c>
      <c r="W46" s="4" t="str">
        <f t="shared" si="109"/>
        <v>0.00</v>
      </c>
      <c r="X46" s="4" t="str">
        <f t="shared" si="85"/>
        <v>0.00000</v>
      </c>
      <c r="Y46" s="4" t="str">
        <f t="shared" si="86"/>
        <v>0</v>
      </c>
      <c r="Z46" s="4" t="str">
        <f t="shared" si="87"/>
        <v>0</v>
      </c>
      <c r="AA46" s="4" t="str">
        <f t="shared" si="13"/>
        <v>人民币</v>
      </c>
      <c r="AB46" s="4" t="str">
        <f t="shared" si="14"/>
        <v>A368402599</v>
      </c>
    </row>
    <row r="47" spans="1:28">
      <c r="A47" s="4" t="str">
        <f>"20201207"</f>
        <v>20201207</v>
      </c>
      <c r="B47" s="4" t="str">
        <f>"20201207"</f>
        <v>20201207</v>
      </c>
      <c r="C47" s="4" t="str">
        <f t="shared" si="75"/>
        <v>0</v>
      </c>
      <c r="D47" s="4" t="str">
        <f t="shared" si="76"/>
        <v>00:00:00</v>
      </c>
      <c r="E47" s="4" t="str">
        <f t="shared" si="77"/>
        <v>港股通组合费</v>
      </c>
      <c r="F47" s="4" t="str">
        <f t="shared" si="78"/>
        <v/>
      </c>
      <c r="G47" s="4" t="str">
        <f t="shared" si="79"/>
        <v/>
      </c>
      <c r="H47" s="4" t="str">
        <f t="shared" si="80"/>
        <v>0.00</v>
      </c>
      <c r="I47" s="4" t="str">
        <f t="shared" si="81"/>
        <v>0</v>
      </c>
      <c r="J47" s="4" t="str">
        <f>"0.13"</f>
        <v>0.13</v>
      </c>
      <c r="K47" s="4" t="str">
        <f>"-0.13"</f>
        <v>-0.13</v>
      </c>
      <c r="L47" s="4" t="str">
        <f t="shared" ref="L47:W47" si="110">"0.00"</f>
        <v>0.00</v>
      </c>
      <c r="M47" s="4" t="str">
        <f t="shared" si="83"/>
        <v>0.000</v>
      </c>
      <c r="N47" s="4" t="str">
        <f>"4.87"</f>
        <v>4.87</v>
      </c>
      <c r="O47" s="4" t="str">
        <f t="shared" si="84"/>
        <v>0</v>
      </c>
      <c r="P47" s="4" t="str">
        <f t="shared" si="110"/>
        <v>0.00</v>
      </c>
      <c r="Q47" s="4" t="str">
        <f t="shared" si="110"/>
        <v>0.00</v>
      </c>
      <c r="R47" s="4" t="str">
        <f t="shared" si="110"/>
        <v>0.00</v>
      </c>
      <c r="S47" s="4" t="str">
        <f t="shared" si="110"/>
        <v>0.00</v>
      </c>
      <c r="T47" s="4" t="str">
        <f t="shared" si="110"/>
        <v>0.00</v>
      </c>
      <c r="U47" s="4" t="str">
        <f t="shared" si="110"/>
        <v>0.00</v>
      </c>
      <c r="V47" s="4" t="str">
        <f t="shared" si="110"/>
        <v>0.00</v>
      </c>
      <c r="W47" s="4" t="str">
        <f t="shared" si="110"/>
        <v>0.00</v>
      </c>
      <c r="X47" s="4" t="str">
        <f t="shared" si="85"/>
        <v>0.00000</v>
      </c>
      <c r="Y47" s="4" t="str">
        <f t="shared" si="86"/>
        <v>0</v>
      </c>
      <c r="Z47" s="4" t="str">
        <f t="shared" si="87"/>
        <v>0</v>
      </c>
      <c r="AA47" s="4" t="str">
        <f t="shared" si="13"/>
        <v>人民币</v>
      </c>
      <c r="AB47" s="4" t="str">
        <f t="shared" si="14"/>
        <v>A368402599</v>
      </c>
    </row>
    <row r="48" spans="1:28">
      <c r="A48" s="4" t="str">
        <f>"20201208"</f>
        <v>20201208</v>
      </c>
      <c r="B48" s="4" t="str">
        <f>"20201208"</f>
        <v>20201208</v>
      </c>
      <c r="C48" s="4" t="str">
        <f t="shared" si="75"/>
        <v>0</v>
      </c>
      <c r="D48" s="4" t="str">
        <f t="shared" si="76"/>
        <v>00:00:00</v>
      </c>
      <c r="E48" s="4" t="str">
        <f t="shared" si="77"/>
        <v>港股通组合费</v>
      </c>
      <c r="F48" s="4" t="str">
        <f t="shared" si="78"/>
        <v/>
      </c>
      <c r="G48" s="4" t="str">
        <f t="shared" si="79"/>
        <v/>
      </c>
      <c r="H48" s="4" t="str">
        <f t="shared" si="80"/>
        <v>0.00</v>
      </c>
      <c r="I48" s="4" t="str">
        <f t="shared" si="81"/>
        <v>0</v>
      </c>
      <c r="J48" s="4" t="str">
        <f t="shared" ref="J48:J51" si="111">"0.04"</f>
        <v>0.04</v>
      </c>
      <c r="K48" s="4" t="str">
        <f t="shared" ref="K48:K51" si="112">"-0.04"</f>
        <v>-0.04</v>
      </c>
      <c r="L48" s="4" t="str">
        <f t="shared" ref="L48:W48" si="113">"0.00"</f>
        <v>0.00</v>
      </c>
      <c r="M48" s="4" t="str">
        <f t="shared" si="83"/>
        <v>0.000</v>
      </c>
      <c r="N48" s="4" t="str">
        <f t="shared" ref="N48:N51" si="114">"4.96"</f>
        <v>4.96</v>
      </c>
      <c r="O48" s="4" t="str">
        <f t="shared" si="84"/>
        <v>0</v>
      </c>
      <c r="P48" s="4" t="str">
        <f t="shared" si="113"/>
        <v>0.00</v>
      </c>
      <c r="Q48" s="4" t="str">
        <f t="shared" si="113"/>
        <v>0.00</v>
      </c>
      <c r="R48" s="4" t="str">
        <f t="shared" si="113"/>
        <v>0.00</v>
      </c>
      <c r="S48" s="4" t="str">
        <f t="shared" si="113"/>
        <v>0.00</v>
      </c>
      <c r="T48" s="4" t="str">
        <f t="shared" si="113"/>
        <v>0.00</v>
      </c>
      <c r="U48" s="4" t="str">
        <f t="shared" si="113"/>
        <v>0.00</v>
      </c>
      <c r="V48" s="4" t="str">
        <f t="shared" si="113"/>
        <v>0.00</v>
      </c>
      <c r="W48" s="4" t="str">
        <f t="shared" si="113"/>
        <v>0.00</v>
      </c>
      <c r="X48" s="4" t="str">
        <f t="shared" si="85"/>
        <v>0.00000</v>
      </c>
      <c r="Y48" s="4" t="str">
        <f t="shared" si="86"/>
        <v>0</v>
      </c>
      <c r="Z48" s="4" t="str">
        <f t="shared" si="87"/>
        <v>0</v>
      </c>
      <c r="AA48" s="4" t="str">
        <f t="shared" si="13"/>
        <v>人民币</v>
      </c>
      <c r="AB48" s="4" t="str">
        <f t="shared" si="14"/>
        <v>A368402599</v>
      </c>
    </row>
    <row r="49" spans="1:28">
      <c r="A49" s="4" t="str">
        <f>"20201209"</f>
        <v>20201209</v>
      </c>
      <c r="B49" s="4" t="str">
        <f>"20201209"</f>
        <v>20201209</v>
      </c>
      <c r="C49" s="4" t="str">
        <f t="shared" si="75"/>
        <v>0</v>
      </c>
      <c r="D49" s="4" t="str">
        <f t="shared" si="76"/>
        <v>00:00:00</v>
      </c>
      <c r="E49" s="4" t="str">
        <f t="shared" si="77"/>
        <v>港股通组合费</v>
      </c>
      <c r="F49" s="4" t="str">
        <f t="shared" si="78"/>
        <v/>
      </c>
      <c r="G49" s="4" t="str">
        <f t="shared" si="79"/>
        <v/>
      </c>
      <c r="H49" s="4" t="str">
        <f t="shared" si="80"/>
        <v>0.00</v>
      </c>
      <c r="I49" s="4" t="str">
        <f t="shared" si="81"/>
        <v>0</v>
      </c>
      <c r="J49" s="4" t="str">
        <f t="shared" si="111"/>
        <v>0.04</v>
      </c>
      <c r="K49" s="4" t="str">
        <f t="shared" si="112"/>
        <v>-0.04</v>
      </c>
      <c r="L49" s="4" t="str">
        <f t="shared" ref="L49:W49" si="115">"0.00"</f>
        <v>0.00</v>
      </c>
      <c r="M49" s="4" t="str">
        <f t="shared" si="83"/>
        <v>0.000</v>
      </c>
      <c r="N49" s="4" t="str">
        <f t="shared" si="114"/>
        <v>4.96</v>
      </c>
      <c r="O49" s="4" t="str">
        <f t="shared" si="84"/>
        <v>0</v>
      </c>
      <c r="P49" s="4" t="str">
        <f t="shared" si="115"/>
        <v>0.00</v>
      </c>
      <c r="Q49" s="4" t="str">
        <f t="shared" si="115"/>
        <v>0.00</v>
      </c>
      <c r="R49" s="4" t="str">
        <f t="shared" si="115"/>
        <v>0.00</v>
      </c>
      <c r="S49" s="4" t="str">
        <f t="shared" si="115"/>
        <v>0.00</v>
      </c>
      <c r="T49" s="4" t="str">
        <f t="shared" si="115"/>
        <v>0.00</v>
      </c>
      <c r="U49" s="4" t="str">
        <f t="shared" si="115"/>
        <v>0.00</v>
      </c>
      <c r="V49" s="4" t="str">
        <f t="shared" si="115"/>
        <v>0.00</v>
      </c>
      <c r="W49" s="4" t="str">
        <f t="shared" si="115"/>
        <v>0.00</v>
      </c>
      <c r="X49" s="4" t="str">
        <f t="shared" si="85"/>
        <v>0.00000</v>
      </c>
      <c r="Y49" s="4" t="str">
        <f t="shared" si="86"/>
        <v>0</v>
      </c>
      <c r="Z49" s="4" t="str">
        <f t="shared" si="87"/>
        <v>0</v>
      </c>
      <c r="AA49" s="4" t="str">
        <f t="shared" si="13"/>
        <v>人民币</v>
      </c>
      <c r="AB49" s="4" t="str">
        <f t="shared" si="14"/>
        <v>A368402599</v>
      </c>
    </row>
    <row r="50" spans="1:28">
      <c r="A50" s="4" t="str">
        <f>"20201210"</f>
        <v>20201210</v>
      </c>
      <c r="B50" s="4" t="str">
        <f>"20201210"</f>
        <v>20201210</v>
      </c>
      <c r="C50" s="4" t="str">
        <f t="shared" si="75"/>
        <v>0</v>
      </c>
      <c r="D50" s="4" t="str">
        <f t="shared" si="76"/>
        <v>00:00:00</v>
      </c>
      <c r="E50" s="4" t="str">
        <f t="shared" si="77"/>
        <v>港股通组合费</v>
      </c>
      <c r="F50" s="4" t="str">
        <f t="shared" si="78"/>
        <v/>
      </c>
      <c r="G50" s="4" t="str">
        <f t="shared" si="79"/>
        <v/>
      </c>
      <c r="H50" s="4" t="str">
        <f t="shared" si="80"/>
        <v>0.00</v>
      </c>
      <c r="I50" s="4" t="str">
        <f t="shared" si="81"/>
        <v>0</v>
      </c>
      <c r="J50" s="4" t="str">
        <f t="shared" si="111"/>
        <v>0.04</v>
      </c>
      <c r="K50" s="4" t="str">
        <f t="shared" si="112"/>
        <v>-0.04</v>
      </c>
      <c r="L50" s="4" t="str">
        <f t="shared" ref="L50:W50" si="116">"0.00"</f>
        <v>0.00</v>
      </c>
      <c r="M50" s="4" t="str">
        <f t="shared" si="83"/>
        <v>0.000</v>
      </c>
      <c r="N50" s="4" t="str">
        <f>"8313.96"</f>
        <v>8313.96</v>
      </c>
      <c r="O50" s="4" t="str">
        <f t="shared" si="84"/>
        <v>0</v>
      </c>
      <c r="P50" s="4" t="str">
        <f t="shared" si="116"/>
        <v>0.00</v>
      </c>
      <c r="Q50" s="4" t="str">
        <f t="shared" si="116"/>
        <v>0.00</v>
      </c>
      <c r="R50" s="4" t="str">
        <f t="shared" si="116"/>
        <v>0.00</v>
      </c>
      <c r="S50" s="4" t="str">
        <f t="shared" si="116"/>
        <v>0.00</v>
      </c>
      <c r="T50" s="4" t="str">
        <f t="shared" si="116"/>
        <v>0.00</v>
      </c>
      <c r="U50" s="4" t="str">
        <f t="shared" si="116"/>
        <v>0.00</v>
      </c>
      <c r="V50" s="4" t="str">
        <f t="shared" si="116"/>
        <v>0.00</v>
      </c>
      <c r="W50" s="4" t="str">
        <f t="shared" si="116"/>
        <v>0.00</v>
      </c>
      <c r="X50" s="4" t="str">
        <f t="shared" si="85"/>
        <v>0.00000</v>
      </c>
      <c r="Y50" s="4" t="str">
        <f t="shared" si="86"/>
        <v>0</v>
      </c>
      <c r="Z50" s="4" t="str">
        <f t="shared" si="87"/>
        <v>0</v>
      </c>
      <c r="AA50" s="4" t="str">
        <f t="shared" si="13"/>
        <v>人民币</v>
      </c>
      <c r="AB50" s="4" t="str">
        <f t="shared" si="14"/>
        <v>A368402599</v>
      </c>
    </row>
    <row r="51" spans="1:28">
      <c r="A51" s="4" t="str">
        <f>"20201211"</f>
        <v>20201211</v>
      </c>
      <c r="B51" s="4" t="str">
        <f>"20201211"</f>
        <v>20201211</v>
      </c>
      <c r="C51" s="4" t="str">
        <f t="shared" si="75"/>
        <v>0</v>
      </c>
      <c r="D51" s="4" t="str">
        <f t="shared" si="76"/>
        <v>00:00:00</v>
      </c>
      <c r="E51" s="4" t="str">
        <f t="shared" si="77"/>
        <v>港股通组合费</v>
      </c>
      <c r="F51" s="4" t="str">
        <f t="shared" si="78"/>
        <v/>
      </c>
      <c r="G51" s="4" t="str">
        <f t="shared" si="79"/>
        <v/>
      </c>
      <c r="H51" s="4" t="str">
        <f t="shared" si="80"/>
        <v>0.00</v>
      </c>
      <c r="I51" s="4" t="str">
        <f t="shared" si="81"/>
        <v>0</v>
      </c>
      <c r="J51" s="4" t="str">
        <f t="shared" si="111"/>
        <v>0.04</v>
      </c>
      <c r="K51" s="4" t="str">
        <f t="shared" si="112"/>
        <v>-0.04</v>
      </c>
      <c r="L51" s="4" t="str">
        <f t="shared" ref="L51:W51" si="117">"0.00"</f>
        <v>0.00</v>
      </c>
      <c r="M51" s="4" t="str">
        <f t="shared" si="83"/>
        <v>0.000</v>
      </c>
      <c r="N51" s="4" t="str">
        <f t="shared" si="114"/>
        <v>4.96</v>
      </c>
      <c r="O51" s="4" t="str">
        <f t="shared" si="84"/>
        <v>0</v>
      </c>
      <c r="P51" s="4" t="str">
        <f t="shared" si="117"/>
        <v>0.00</v>
      </c>
      <c r="Q51" s="4" t="str">
        <f t="shared" si="117"/>
        <v>0.00</v>
      </c>
      <c r="R51" s="4" t="str">
        <f t="shared" si="117"/>
        <v>0.00</v>
      </c>
      <c r="S51" s="4" t="str">
        <f t="shared" si="117"/>
        <v>0.00</v>
      </c>
      <c r="T51" s="4" t="str">
        <f t="shared" si="117"/>
        <v>0.00</v>
      </c>
      <c r="U51" s="4" t="str">
        <f t="shared" si="117"/>
        <v>0.00</v>
      </c>
      <c r="V51" s="4" t="str">
        <f t="shared" si="117"/>
        <v>0.00</v>
      </c>
      <c r="W51" s="4" t="str">
        <f t="shared" si="117"/>
        <v>0.00</v>
      </c>
      <c r="X51" s="4" t="str">
        <f t="shared" si="85"/>
        <v>0.00000</v>
      </c>
      <c r="Y51" s="4" t="str">
        <f t="shared" si="86"/>
        <v>0</v>
      </c>
      <c r="Z51" s="4" t="str">
        <f t="shared" si="87"/>
        <v>0</v>
      </c>
      <c r="AA51" s="4" t="str">
        <f t="shared" si="13"/>
        <v>人民币</v>
      </c>
      <c r="AB51" s="4" t="str">
        <f t="shared" si="14"/>
        <v>A368402599</v>
      </c>
    </row>
    <row r="52" spans="1:28">
      <c r="A52" s="4" t="str">
        <f>"20201214"</f>
        <v>20201214</v>
      </c>
      <c r="B52" s="4" t="str">
        <f>"20201214"</f>
        <v>20201214</v>
      </c>
      <c r="C52" s="4" t="str">
        <f t="shared" si="75"/>
        <v>0</v>
      </c>
      <c r="D52" s="4" t="str">
        <f t="shared" si="76"/>
        <v>00:00:00</v>
      </c>
      <c r="E52" s="4" t="str">
        <f t="shared" si="77"/>
        <v>港股通组合费</v>
      </c>
      <c r="F52" s="4" t="str">
        <f t="shared" si="78"/>
        <v/>
      </c>
      <c r="G52" s="4" t="str">
        <f t="shared" si="79"/>
        <v/>
      </c>
      <c r="H52" s="4" t="str">
        <f t="shared" si="80"/>
        <v>0.00</v>
      </c>
      <c r="I52" s="4" t="str">
        <f t="shared" si="81"/>
        <v>0</v>
      </c>
      <c r="J52" s="4" t="str">
        <f>"0.13"</f>
        <v>0.13</v>
      </c>
      <c r="K52" s="4" t="str">
        <f>"-0.13"</f>
        <v>-0.13</v>
      </c>
      <c r="L52" s="4" t="str">
        <f t="shared" ref="L52:W52" si="118">"0.00"</f>
        <v>0.00</v>
      </c>
      <c r="M52" s="4" t="str">
        <f t="shared" si="83"/>
        <v>0.000</v>
      </c>
      <c r="N52" s="4" t="str">
        <f>"4.87"</f>
        <v>4.87</v>
      </c>
      <c r="O52" s="4" t="str">
        <f t="shared" si="84"/>
        <v>0</v>
      </c>
      <c r="P52" s="4" t="str">
        <f t="shared" si="118"/>
        <v>0.00</v>
      </c>
      <c r="Q52" s="4" t="str">
        <f t="shared" si="118"/>
        <v>0.00</v>
      </c>
      <c r="R52" s="4" t="str">
        <f t="shared" si="118"/>
        <v>0.00</v>
      </c>
      <c r="S52" s="4" t="str">
        <f t="shared" si="118"/>
        <v>0.00</v>
      </c>
      <c r="T52" s="4" t="str">
        <f t="shared" si="118"/>
        <v>0.00</v>
      </c>
      <c r="U52" s="4" t="str">
        <f t="shared" si="118"/>
        <v>0.00</v>
      </c>
      <c r="V52" s="4" t="str">
        <f t="shared" si="118"/>
        <v>0.00</v>
      </c>
      <c r="W52" s="4" t="str">
        <f t="shared" si="118"/>
        <v>0.00</v>
      </c>
      <c r="X52" s="4" t="str">
        <f t="shared" si="85"/>
        <v>0.00000</v>
      </c>
      <c r="Y52" s="4" t="str">
        <f t="shared" si="86"/>
        <v>0</v>
      </c>
      <c r="Z52" s="4" t="str">
        <f t="shared" si="87"/>
        <v>0</v>
      </c>
      <c r="AA52" s="4" t="str">
        <f t="shared" si="13"/>
        <v>人民币</v>
      </c>
      <c r="AB52" s="4" t="str">
        <f t="shared" si="14"/>
        <v>A368402599</v>
      </c>
    </row>
    <row r="53" spans="1:28">
      <c r="A53" s="4" t="str">
        <f>"20201215"</f>
        <v>20201215</v>
      </c>
      <c r="B53" s="4" t="str">
        <f>"20201215"</f>
        <v>20201215</v>
      </c>
      <c r="C53" s="4" t="str">
        <f t="shared" si="75"/>
        <v>0</v>
      </c>
      <c r="D53" s="4" t="str">
        <f t="shared" si="76"/>
        <v>00:00:00</v>
      </c>
      <c r="E53" s="4" t="str">
        <f t="shared" si="77"/>
        <v>港股通组合费</v>
      </c>
      <c r="F53" s="4" t="str">
        <f t="shared" si="78"/>
        <v/>
      </c>
      <c r="G53" s="4" t="str">
        <f t="shared" si="79"/>
        <v/>
      </c>
      <c r="H53" s="4" t="str">
        <f t="shared" si="80"/>
        <v>0.00</v>
      </c>
      <c r="I53" s="4" t="str">
        <f t="shared" si="81"/>
        <v>0</v>
      </c>
      <c r="J53" s="4" t="str">
        <f t="shared" ref="J53:J56" si="119">"0.04"</f>
        <v>0.04</v>
      </c>
      <c r="K53" s="4" t="str">
        <f t="shared" ref="K53:K56" si="120">"-0.04"</f>
        <v>-0.04</v>
      </c>
      <c r="L53" s="4" t="str">
        <f t="shared" ref="L53:W53" si="121">"0.00"</f>
        <v>0.00</v>
      </c>
      <c r="M53" s="4" t="str">
        <f t="shared" si="83"/>
        <v>0.000</v>
      </c>
      <c r="N53" s="4" t="str">
        <f t="shared" ref="N53:N55" si="122">"4.96"</f>
        <v>4.96</v>
      </c>
      <c r="O53" s="4" t="str">
        <f t="shared" si="84"/>
        <v>0</v>
      </c>
      <c r="P53" s="4" t="str">
        <f t="shared" si="121"/>
        <v>0.00</v>
      </c>
      <c r="Q53" s="4" t="str">
        <f t="shared" si="121"/>
        <v>0.00</v>
      </c>
      <c r="R53" s="4" t="str">
        <f t="shared" si="121"/>
        <v>0.00</v>
      </c>
      <c r="S53" s="4" t="str">
        <f t="shared" si="121"/>
        <v>0.00</v>
      </c>
      <c r="T53" s="4" t="str">
        <f t="shared" si="121"/>
        <v>0.00</v>
      </c>
      <c r="U53" s="4" t="str">
        <f t="shared" si="121"/>
        <v>0.00</v>
      </c>
      <c r="V53" s="4" t="str">
        <f t="shared" si="121"/>
        <v>0.00</v>
      </c>
      <c r="W53" s="4" t="str">
        <f t="shared" si="121"/>
        <v>0.00</v>
      </c>
      <c r="X53" s="4" t="str">
        <f t="shared" si="85"/>
        <v>0.00000</v>
      </c>
      <c r="Y53" s="4" t="str">
        <f t="shared" si="86"/>
        <v>0</v>
      </c>
      <c r="Z53" s="4" t="str">
        <f t="shared" si="87"/>
        <v>0</v>
      </c>
      <c r="AA53" s="4" t="str">
        <f t="shared" si="13"/>
        <v>人民币</v>
      </c>
      <c r="AB53" s="4" t="str">
        <f t="shared" si="14"/>
        <v>A368402599</v>
      </c>
    </row>
    <row r="54" spans="1:28">
      <c r="A54" s="4" t="str">
        <f>"20201216"</f>
        <v>20201216</v>
      </c>
      <c r="B54" s="4" t="str">
        <f>"20201216"</f>
        <v>20201216</v>
      </c>
      <c r="C54" s="4" t="str">
        <f t="shared" si="75"/>
        <v>0</v>
      </c>
      <c r="D54" s="4" t="str">
        <f t="shared" si="76"/>
        <v>00:00:00</v>
      </c>
      <c r="E54" s="4" t="str">
        <f t="shared" si="77"/>
        <v>港股通组合费</v>
      </c>
      <c r="F54" s="4" t="str">
        <f t="shared" si="78"/>
        <v/>
      </c>
      <c r="G54" s="4" t="str">
        <f t="shared" si="79"/>
        <v/>
      </c>
      <c r="H54" s="4" t="str">
        <f t="shared" si="80"/>
        <v>0.00</v>
      </c>
      <c r="I54" s="4" t="str">
        <f t="shared" si="81"/>
        <v>0</v>
      </c>
      <c r="J54" s="4" t="str">
        <f t="shared" si="119"/>
        <v>0.04</v>
      </c>
      <c r="K54" s="4" t="str">
        <f t="shared" si="120"/>
        <v>-0.04</v>
      </c>
      <c r="L54" s="4" t="str">
        <f t="shared" ref="L54:W54" si="123">"0.00"</f>
        <v>0.00</v>
      </c>
      <c r="M54" s="4" t="str">
        <f t="shared" si="83"/>
        <v>0.000</v>
      </c>
      <c r="N54" s="4" t="str">
        <f t="shared" si="122"/>
        <v>4.96</v>
      </c>
      <c r="O54" s="4" t="str">
        <f t="shared" si="84"/>
        <v>0</v>
      </c>
      <c r="P54" s="4" t="str">
        <f t="shared" si="123"/>
        <v>0.00</v>
      </c>
      <c r="Q54" s="4" t="str">
        <f t="shared" si="123"/>
        <v>0.00</v>
      </c>
      <c r="R54" s="4" t="str">
        <f t="shared" si="123"/>
        <v>0.00</v>
      </c>
      <c r="S54" s="4" t="str">
        <f t="shared" si="123"/>
        <v>0.00</v>
      </c>
      <c r="T54" s="4" t="str">
        <f t="shared" si="123"/>
        <v>0.00</v>
      </c>
      <c r="U54" s="4" t="str">
        <f t="shared" si="123"/>
        <v>0.00</v>
      </c>
      <c r="V54" s="4" t="str">
        <f t="shared" si="123"/>
        <v>0.00</v>
      </c>
      <c r="W54" s="4" t="str">
        <f t="shared" si="123"/>
        <v>0.00</v>
      </c>
      <c r="X54" s="4" t="str">
        <f t="shared" si="85"/>
        <v>0.00000</v>
      </c>
      <c r="Y54" s="4" t="str">
        <f t="shared" si="86"/>
        <v>0</v>
      </c>
      <c r="Z54" s="4" t="str">
        <f t="shared" si="87"/>
        <v>0</v>
      </c>
      <c r="AA54" s="4" t="str">
        <f t="shared" si="13"/>
        <v>人民币</v>
      </c>
      <c r="AB54" s="4" t="str">
        <f t="shared" si="14"/>
        <v>A368402599</v>
      </c>
    </row>
    <row r="55" spans="1:28">
      <c r="A55" s="4" t="str">
        <f>"20201217"</f>
        <v>20201217</v>
      </c>
      <c r="B55" s="4" t="str">
        <f>"20201217"</f>
        <v>20201217</v>
      </c>
      <c r="C55" s="4" t="str">
        <f t="shared" si="75"/>
        <v>0</v>
      </c>
      <c r="D55" s="4" t="str">
        <f t="shared" si="76"/>
        <v>00:00:00</v>
      </c>
      <c r="E55" s="4" t="str">
        <f t="shared" si="77"/>
        <v>港股通组合费</v>
      </c>
      <c r="F55" s="4" t="str">
        <f t="shared" si="78"/>
        <v/>
      </c>
      <c r="G55" s="4" t="str">
        <f t="shared" si="79"/>
        <v/>
      </c>
      <c r="H55" s="4" t="str">
        <f t="shared" si="80"/>
        <v>0.00</v>
      </c>
      <c r="I55" s="4" t="str">
        <f t="shared" si="81"/>
        <v>0</v>
      </c>
      <c r="J55" s="4" t="str">
        <f t="shared" si="119"/>
        <v>0.04</v>
      </c>
      <c r="K55" s="4" t="str">
        <f t="shared" si="120"/>
        <v>-0.04</v>
      </c>
      <c r="L55" s="4" t="str">
        <f t="shared" ref="L55:W55" si="124">"0.00"</f>
        <v>0.00</v>
      </c>
      <c r="M55" s="4" t="str">
        <f t="shared" si="83"/>
        <v>0.000</v>
      </c>
      <c r="N55" s="4" t="str">
        <f t="shared" si="122"/>
        <v>4.96</v>
      </c>
      <c r="O55" s="4" t="str">
        <f t="shared" si="84"/>
        <v>0</v>
      </c>
      <c r="P55" s="4" t="str">
        <f t="shared" si="124"/>
        <v>0.00</v>
      </c>
      <c r="Q55" s="4" t="str">
        <f t="shared" si="124"/>
        <v>0.00</v>
      </c>
      <c r="R55" s="4" t="str">
        <f t="shared" si="124"/>
        <v>0.00</v>
      </c>
      <c r="S55" s="4" t="str">
        <f t="shared" si="124"/>
        <v>0.00</v>
      </c>
      <c r="T55" s="4" t="str">
        <f t="shared" si="124"/>
        <v>0.00</v>
      </c>
      <c r="U55" s="4" t="str">
        <f t="shared" si="124"/>
        <v>0.00</v>
      </c>
      <c r="V55" s="4" t="str">
        <f t="shared" si="124"/>
        <v>0.00</v>
      </c>
      <c r="W55" s="4" t="str">
        <f t="shared" si="124"/>
        <v>0.00</v>
      </c>
      <c r="X55" s="4" t="str">
        <f t="shared" si="85"/>
        <v>0.00000</v>
      </c>
      <c r="Y55" s="4" t="str">
        <f t="shared" si="86"/>
        <v>0</v>
      </c>
      <c r="Z55" s="4" t="str">
        <f t="shared" si="87"/>
        <v>0</v>
      </c>
      <c r="AA55" s="4" t="str">
        <f t="shared" si="13"/>
        <v>人民币</v>
      </c>
      <c r="AB55" s="4" t="str">
        <f t="shared" si="14"/>
        <v>A368402599</v>
      </c>
    </row>
    <row r="56" spans="1:28">
      <c r="A56" s="4" t="str">
        <f>"20201218"</f>
        <v>20201218</v>
      </c>
      <c r="B56" s="4" t="str">
        <f>"20201218"</f>
        <v>20201218</v>
      </c>
      <c r="C56" s="4" t="str">
        <f t="shared" si="75"/>
        <v>0</v>
      </c>
      <c r="D56" s="4" t="str">
        <f t="shared" si="76"/>
        <v>00:00:00</v>
      </c>
      <c r="E56" s="4" t="str">
        <f t="shared" si="77"/>
        <v>港股通组合费</v>
      </c>
      <c r="F56" s="4" t="str">
        <f t="shared" si="78"/>
        <v/>
      </c>
      <c r="G56" s="4" t="str">
        <f t="shared" si="79"/>
        <v/>
      </c>
      <c r="H56" s="4" t="str">
        <f t="shared" si="80"/>
        <v>0.00</v>
      </c>
      <c r="I56" s="4" t="str">
        <f t="shared" si="81"/>
        <v>0</v>
      </c>
      <c r="J56" s="4" t="str">
        <f t="shared" si="119"/>
        <v>0.04</v>
      </c>
      <c r="K56" s="4" t="str">
        <f t="shared" si="120"/>
        <v>-0.04</v>
      </c>
      <c r="L56" s="4" t="str">
        <f t="shared" ref="L56:W56" si="125">"0.00"</f>
        <v>0.00</v>
      </c>
      <c r="M56" s="4" t="str">
        <f t="shared" si="83"/>
        <v>0.000</v>
      </c>
      <c r="N56" s="4" t="str">
        <f>"6.76"</f>
        <v>6.76</v>
      </c>
      <c r="O56" s="4" t="str">
        <f t="shared" si="84"/>
        <v>0</v>
      </c>
      <c r="P56" s="4" t="str">
        <f t="shared" si="125"/>
        <v>0.00</v>
      </c>
      <c r="Q56" s="4" t="str">
        <f t="shared" si="125"/>
        <v>0.00</v>
      </c>
      <c r="R56" s="4" t="str">
        <f t="shared" si="125"/>
        <v>0.00</v>
      </c>
      <c r="S56" s="4" t="str">
        <f t="shared" si="125"/>
        <v>0.00</v>
      </c>
      <c r="T56" s="4" t="str">
        <f t="shared" si="125"/>
        <v>0.00</v>
      </c>
      <c r="U56" s="4" t="str">
        <f t="shared" si="125"/>
        <v>0.00</v>
      </c>
      <c r="V56" s="4" t="str">
        <f t="shared" si="125"/>
        <v>0.00</v>
      </c>
      <c r="W56" s="4" t="str">
        <f t="shared" si="125"/>
        <v>0.00</v>
      </c>
      <c r="X56" s="4" t="str">
        <f t="shared" si="85"/>
        <v>0.00000</v>
      </c>
      <c r="Y56" s="4" t="str">
        <f t="shared" si="86"/>
        <v>0</v>
      </c>
      <c r="Z56" s="4" t="str">
        <f t="shared" si="87"/>
        <v>0</v>
      </c>
      <c r="AA56" s="4" t="str">
        <f t="shared" si="13"/>
        <v>人民币</v>
      </c>
      <c r="AB56" s="4" t="str">
        <f t="shared" si="14"/>
        <v>A368402599</v>
      </c>
    </row>
    <row r="57" spans="1:28">
      <c r="A57" s="4" t="str">
        <f>"20201221"</f>
        <v>20201221</v>
      </c>
      <c r="B57" s="4" t="str">
        <f>"20201221"</f>
        <v>20201221</v>
      </c>
      <c r="C57" s="4" t="str">
        <f t="shared" si="75"/>
        <v>0</v>
      </c>
      <c r="D57" s="4" t="str">
        <f t="shared" si="76"/>
        <v>00:00:00</v>
      </c>
      <c r="E57" s="4" t="str">
        <f t="shared" si="77"/>
        <v>港股通组合费</v>
      </c>
      <c r="F57" s="4" t="str">
        <f t="shared" si="78"/>
        <v/>
      </c>
      <c r="G57" s="4" t="str">
        <f t="shared" si="79"/>
        <v/>
      </c>
      <c r="H57" s="4" t="str">
        <f t="shared" si="80"/>
        <v>0.00</v>
      </c>
      <c r="I57" s="4" t="str">
        <f t="shared" si="81"/>
        <v>0</v>
      </c>
      <c r="J57" s="4" t="str">
        <f>"0.13"</f>
        <v>0.13</v>
      </c>
      <c r="K57" s="4" t="str">
        <f>"-0.13"</f>
        <v>-0.13</v>
      </c>
      <c r="L57" s="4" t="str">
        <f t="shared" ref="L57:W57" si="126">"0.00"</f>
        <v>0.00</v>
      </c>
      <c r="M57" s="4" t="str">
        <f t="shared" si="83"/>
        <v>0.000</v>
      </c>
      <c r="N57" s="4" t="str">
        <f>"6.63"</f>
        <v>6.63</v>
      </c>
      <c r="O57" s="4" t="str">
        <f t="shared" si="84"/>
        <v>0</v>
      </c>
      <c r="P57" s="4" t="str">
        <f t="shared" si="126"/>
        <v>0.00</v>
      </c>
      <c r="Q57" s="4" t="str">
        <f t="shared" si="126"/>
        <v>0.00</v>
      </c>
      <c r="R57" s="4" t="str">
        <f t="shared" si="126"/>
        <v>0.00</v>
      </c>
      <c r="S57" s="4" t="str">
        <f t="shared" si="126"/>
        <v>0.00</v>
      </c>
      <c r="T57" s="4" t="str">
        <f t="shared" si="126"/>
        <v>0.00</v>
      </c>
      <c r="U57" s="4" t="str">
        <f t="shared" si="126"/>
        <v>0.00</v>
      </c>
      <c r="V57" s="4" t="str">
        <f t="shared" si="126"/>
        <v>0.00</v>
      </c>
      <c r="W57" s="4" t="str">
        <f t="shared" si="126"/>
        <v>0.00</v>
      </c>
      <c r="X57" s="4" t="str">
        <f t="shared" si="85"/>
        <v>0.00000</v>
      </c>
      <c r="Y57" s="4" t="str">
        <f t="shared" si="86"/>
        <v>0</v>
      </c>
      <c r="Z57" s="4" t="str">
        <f t="shared" si="87"/>
        <v>0</v>
      </c>
      <c r="AA57" s="4" t="str">
        <f t="shared" si="13"/>
        <v>人民币</v>
      </c>
      <c r="AB57" s="4" t="str">
        <f t="shared" si="14"/>
        <v>A368402599</v>
      </c>
    </row>
    <row r="58" spans="1:28">
      <c r="A58" s="4" t="str">
        <f>"20201222"</f>
        <v>20201222</v>
      </c>
      <c r="B58" s="4" t="str">
        <f>"20201222"</f>
        <v>20201222</v>
      </c>
      <c r="C58" s="4" t="str">
        <f t="shared" si="75"/>
        <v>0</v>
      </c>
      <c r="D58" s="4" t="str">
        <f t="shared" si="76"/>
        <v>00:00:00</v>
      </c>
      <c r="E58" s="4" t="str">
        <f t="shared" si="77"/>
        <v>港股通组合费</v>
      </c>
      <c r="F58" s="4" t="str">
        <f t="shared" si="78"/>
        <v/>
      </c>
      <c r="G58" s="4" t="str">
        <f t="shared" si="79"/>
        <v/>
      </c>
      <c r="H58" s="4" t="str">
        <f t="shared" si="80"/>
        <v>0.00</v>
      </c>
      <c r="I58" s="4" t="str">
        <f t="shared" si="81"/>
        <v>0</v>
      </c>
      <c r="J58" s="4" t="str">
        <f t="shared" ref="J58:J60" si="127">"0.04"</f>
        <v>0.04</v>
      </c>
      <c r="K58" s="4" t="str">
        <f t="shared" ref="K58:K60" si="128">"-0.04"</f>
        <v>-0.04</v>
      </c>
      <c r="L58" s="4" t="str">
        <f t="shared" ref="L58:W58" si="129">"0.00"</f>
        <v>0.00</v>
      </c>
      <c r="M58" s="4" t="str">
        <f t="shared" si="83"/>
        <v>0.000</v>
      </c>
      <c r="N58" s="4" t="str">
        <f>"25.49"</f>
        <v>25.49</v>
      </c>
      <c r="O58" s="4" t="str">
        <f t="shared" si="84"/>
        <v>0</v>
      </c>
      <c r="P58" s="4" t="str">
        <f t="shared" si="129"/>
        <v>0.00</v>
      </c>
      <c r="Q58" s="4" t="str">
        <f t="shared" si="129"/>
        <v>0.00</v>
      </c>
      <c r="R58" s="4" t="str">
        <f t="shared" si="129"/>
        <v>0.00</v>
      </c>
      <c r="S58" s="4" t="str">
        <f t="shared" si="129"/>
        <v>0.00</v>
      </c>
      <c r="T58" s="4" t="str">
        <f t="shared" si="129"/>
        <v>0.00</v>
      </c>
      <c r="U58" s="4" t="str">
        <f t="shared" si="129"/>
        <v>0.00</v>
      </c>
      <c r="V58" s="4" t="str">
        <f t="shared" si="129"/>
        <v>0.00</v>
      </c>
      <c r="W58" s="4" t="str">
        <f t="shared" si="129"/>
        <v>0.00</v>
      </c>
      <c r="X58" s="4" t="str">
        <f t="shared" si="85"/>
        <v>0.00000</v>
      </c>
      <c r="Y58" s="4" t="str">
        <f t="shared" si="86"/>
        <v>0</v>
      </c>
      <c r="Z58" s="4" t="str">
        <f t="shared" si="87"/>
        <v>0</v>
      </c>
      <c r="AA58" s="4" t="str">
        <f t="shared" si="13"/>
        <v>人民币</v>
      </c>
      <c r="AB58" s="4" t="str">
        <f t="shared" si="14"/>
        <v>A368402599</v>
      </c>
    </row>
    <row r="59" spans="1:28">
      <c r="A59" s="4" t="str">
        <f>"20201223"</f>
        <v>20201223</v>
      </c>
      <c r="B59" s="4" t="str">
        <f>"20201223"</f>
        <v>20201223</v>
      </c>
      <c r="C59" s="4" t="str">
        <f t="shared" si="75"/>
        <v>0</v>
      </c>
      <c r="D59" s="4" t="str">
        <f t="shared" si="76"/>
        <v>00:00:00</v>
      </c>
      <c r="E59" s="4" t="str">
        <f t="shared" si="77"/>
        <v>港股通组合费</v>
      </c>
      <c r="F59" s="4" t="str">
        <f t="shared" si="78"/>
        <v/>
      </c>
      <c r="G59" s="4" t="str">
        <f t="shared" si="79"/>
        <v/>
      </c>
      <c r="H59" s="4" t="str">
        <f t="shared" si="80"/>
        <v>0.00</v>
      </c>
      <c r="I59" s="4" t="str">
        <f t="shared" si="81"/>
        <v>0</v>
      </c>
      <c r="J59" s="4" t="str">
        <f t="shared" si="127"/>
        <v>0.04</v>
      </c>
      <c r="K59" s="4" t="str">
        <f t="shared" si="128"/>
        <v>-0.04</v>
      </c>
      <c r="L59" s="4" t="str">
        <f t="shared" ref="L59:W59" si="130">"0.00"</f>
        <v>0.00</v>
      </c>
      <c r="M59" s="4" t="str">
        <f t="shared" si="83"/>
        <v>0.000</v>
      </c>
      <c r="N59" s="4" t="str">
        <f>"25.45"</f>
        <v>25.45</v>
      </c>
      <c r="O59" s="4" t="str">
        <f t="shared" si="84"/>
        <v>0</v>
      </c>
      <c r="P59" s="4" t="str">
        <f t="shared" si="130"/>
        <v>0.00</v>
      </c>
      <c r="Q59" s="4" t="str">
        <f t="shared" si="130"/>
        <v>0.00</v>
      </c>
      <c r="R59" s="4" t="str">
        <f t="shared" si="130"/>
        <v>0.00</v>
      </c>
      <c r="S59" s="4" t="str">
        <f t="shared" si="130"/>
        <v>0.00</v>
      </c>
      <c r="T59" s="4" t="str">
        <f t="shared" si="130"/>
        <v>0.00</v>
      </c>
      <c r="U59" s="4" t="str">
        <f t="shared" si="130"/>
        <v>0.00</v>
      </c>
      <c r="V59" s="4" t="str">
        <f t="shared" si="130"/>
        <v>0.00</v>
      </c>
      <c r="W59" s="4" t="str">
        <f t="shared" si="130"/>
        <v>0.00</v>
      </c>
      <c r="X59" s="4" t="str">
        <f t="shared" si="85"/>
        <v>0.00000</v>
      </c>
      <c r="Y59" s="4" t="str">
        <f t="shared" si="86"/>
        <v>0</v>
      </c>
      <c r="Z59" s="4" t="str">
        <f t="shared" si="87"/>
        <v>0</v>
      </c>
      <c r="AA59" s="4" t="str">
        <f t="shared" si="13"/>
        <v>人民币</v>
      </c>
      <c r="AB59" s="4" t="str">
        <f t="shared" si="14"/>
        <v>A368402599</v>
      </c>
    </row>
    <row r="60" spans="1:28">
      <c r="A60" s="4" t="str">
        <f>"20201224"</f>
        <v>20201224</v>
      </c>
      <c r="B60" s="4" t="str">
        <f>"20201224"</f>
        <v>20201224</v>
      </c>
      <c r="C60" s="4" t="str">
        <f t="shared" si="75"/>
        <v>0</v>
      </c>
      <c r="D60" s="4" t="str">
        <f t="shared" si="76"/>
        <v>00:00:00</v>
      </c>
      <c r="E60" s="4" t="str">
        <f t="shared" si="77"/>
        <v>港股通组合费</v>
      </c>
      <c r="F60" s="4" t="str">
        <f t="shared" si="78"/>
        <v/>
      </c>
      <c r="G60" s="4" t="str">
        <f t="shared" si="79"/>
        <v/>
      </c>
      <c r="H60" s="4" t="str">
        <f t="shared" si="80"/>
        <v>0.00</v>
      </c>
      <c r="I60" s="4" t="str">
        <f t="shared" si="81"/>
        <v>0</v>
      </c>
      <c r="J60" s="4" t="str">
        <f t="shared" si="127"/>
        <v>0.04</v>
      </c>
      <c r="K60" s="4" t="str">
        <f t="shared" si="128"/>
        <v>-0.04</v>
      </c>
      <c r="L60" s="4" t="str">
        <f t="shared" ref="L60:W60" si="131">"0.00"</f>
        <v>0.00</v>
      </c>
      <c r="M60" s="4" t="str">
        <f t="shared" si="83"/>
        <v>0.000</v>
      </c>
      <c r="N60" s="4" t="str">
        <f>"25.41"</f>
        <v>25.41</v>
      </c>
      <c r="O60" s="4" t="str">
        <f t="shared" si="84"/>
        <v>0</v>
      </c>
      <c r="P60" s="4" t="str">
        <f t="shared" si="131"/>
        <v>0.00</v>
      </c>
      <c r="Q60" s="4" t="str">
        <f t="shared" si="131"/>
        <v>0.00</v>
      </c>
      <c r="R60" s="4" t="str">
        <f t="shared" si="131"/>
        <v>0.00</v>
      </c>
      <c r="S60" s="4" t="str">
        <f t="shared" si="131"/>
        <v>0.00</v>
      </c>
      <c r="T60" s="4" t="str">
        <f t="shared" si="131"/>
        <v>0.00</v>
      </c>
      <c r="U60" s="4" t="str">
        <f t="shared" si="131"/>
        <v>0.00</v>
      </c>
      <c r="V60" s="4" t="str">
        <f t="shared" si="131"/>
        <v>0.00</v>
      </c>
      <c r="W60" s="4" t="str">
        <f t="shared" si="131"/>
        <v>0.00</v>
      </c>
      <c r="X60" s="4" t="str">
        <f t="shared" si="85"/>
        <v>0.00000</v>
      </c>
      <c r="Y60" s="4" t="str">
        <f t="shared" si="86"/>
        <v>0</v>
      </c>
      <c r="Z60" s="4" t="str">
        <f t="shared" si="87"/>
        <v>0</v>
      </c>
      <c r="AA60" s="4" t="str">
        <f t="shared" si="13"/>
        <v>人民币</v>
      </c>
      <c r="AB60" s="4" t="str">
        <f t="shared" si="14"/>
        <v>A368402599</v>
      </c>
    </row>
    <row r="61" spans="1:28">
      <c r="A61" s="4" t="str">
        <f>"20201228"</f>
        <v>20201228</v>
      </c>
      <c r="B61" s="4" t="str">
        <f>"20201228"</f>
        <v>20201228</v>
      </c>
      <c r="C61" s="4" t="str">
        <f t="shared" si="75"/>
        <v>0</v>
      </c>
      <c r="D61" s="4" t="str">
        <f t="shared" si="76"/>
        <v>00:00:00</v>
      </c>
      <c r="E61" s="4" t="str">
        <f t="shared" si="77"/>
        <v>港股通组合费</v>
      </c>
      <c r="F61" s="4" t="str">
        <f t="shared" si="78"/>
        <v/>
      </c>
      <c r="G61" s="4" t="str">
        <f t="shared" si="79"/>
        <v/>
      </c>
      <c r="H61" s="4" t="str">
        <f t="shared" si="80"/>
        <v>0.00</v>
      </c>
      <c r="I61" s="4" t="str">
        <f t="shared" si="81"/>
        <v>0</v>
      </c>
      <c r="J61" s="4" t="str">
        <f>"0.17"</f>
        <v>0.17</v>
      </c>
      <c r="K61" s="4" t="str">
        <f>"-0.17"</f>
        <v>-0.17</v>
      </c>
      <c r="L61" s="4" t="str">
        <f t="shared" ref="L61:W61" si="132">"0.00"</f>
        <v>0.00</v>
      </c>
      <c r="M61" s="4" t="str">
        <f t="shared" si="83"/>
        <v>0.000</v>
      </c>
      <c r="N61" s="4" t="str">
        <f>"25.24"</f>
        <v>25.24</v>
      </c>
      <c r="O61" s="4" t="str">
        <f t="shared" si="84"/>
        <v>0</v>
      </c>
      <c r="P61" s="4" t="str">
        <f t="shared" si="132"/>
        <v>0.00</v>
      </c>
      <c r="Q61" s="4" t="str">
        <f t="shared" si="132"/>
        <v>0.00</v>
      </c>
      <c r="R61" s="4" t="str">
        <f t="shared" si="132"/>
        <v>0.00</v>
      </c>
      <c r="S61" s="4" t="str">
        <f t="shared" si="132"/>
        <v>0.00</v>
      </c>
      <c r="T61" s="4" t="str">
        <f t="shared" si="132"/>
        <v>0.00</v>
      </c>
      <c r="U61" s="4" t="str">
        <f t="shared" si="132"/>
        <v>0.00</v>
      </c>
      <c r="V61" s="4" t="str">
        <f t="shared" si="132"/>
        <v>0.00</v>
      </c>
      <c r="W61" s="4" t="str">
        <f t="shared" si="132"/>
        <v>0.00</v>
      </c>
      <c r="X61" s="4" t="str">
        <f t="shared" si="85"/>
        <v>0.00000</v>
      </c>
      <c r="Y61" s="4" t="str">
        <f t="shared" si="86"/>
        <v>0</v>
      </c>
      <c r="Z61" s="4" t="str">
        <f t="shared" si="87"/>
        <v>0</v>
      </c>
      <c r="AA61" s="4" t="str">
        <f t="shared" si="13"/>
        <v>人民币</v>
      </c>
      <c r="AB61" s="4" t="str">
        <f t="shared" si="14"/>
        <v>A368402599</v>
      </c>
    </row>
    <row r="62" spans="1:28">
      <c r="A62" s="4" t="str">
        <f>"20201229"</f>
        <v>20201229</v>
      </c>
      <c r="B62" s="4" t="str">
        <f>"20201229"</f>
        <v>20201229</v>
      </c>
      <c r="C62" s="4" t="str">
        <f t="shared" si="75"/>
        <v>0</v>
      </c>
      <c r="D62" s="4" t="str">
        <f t="shared" si="76"/>
        <v>00:00:00</v>
      </c>
      <c r="E62" s="4" t="str">
        <f t="shared" si="77"/>
        <v>港股通组合费</v>
      </c>
      <c r="F62" s="4" t="str">
        <f t="shared" si="78"/>
        <v/>
      </c>
      <c r="G62" s="4" t="str">
        <f t="shared" si="79"/>
        <v/>
      </c>
      <c r="H62" s="4" t="str">
        <f t="shared" si="80"/>
        <v>0.00</v>
      </c>
      <c r="I62" s="4" t="str">
        <f t="shared" si="81"/>
        <v>0</v>
      </c>
      <c r="J62" s="4" t="str">
        <f t="shared" ref="J62:J64" si="133">"0.04"</f>
        <v>0.04</v>
      </c>
      <c r="K62" s="4" t="str">
        <f t="shared" ref="K62:K64" si="134">"-0.04"</f>
        <v>-0.04</v>
      </c>
      <c r="L62" s="4" t="str">
        <f t="shared" ref="L62:W62" si="135">"0.00"</f>
        <v>0.00</v>
      </c>
      <c r="M62" s="4" t="str">
        <f t="shared" si="83"/>
        <v>0.000</v>
      </c>
      <c r="N62" s="4" t="str">
        <f>"25.20"</f>
        <v>25.20</v>
      </c>
      <c r="O62" s="4" t="str">
        <f t="shared" si="84"/>
        <v>0</v>
      </c>
      <c r="P62" s="4" t="str">
        <f t="shared" si="135"/>
        <v>0.00</v>
      </c>
      <c r="Q62" s="4" t="str">
        <f t="shared" si="135"/>
        <v>0.00</v>
      </c>
      <c r="R62" s="4" t="str">
        <f t="shared" si="135"/>
        <v>0.00</v>
      </c>
      <c r="S62" s="4" t="str">
        <f t="shared" si="135"/>
        <v>0.00</v>
      </c>
      <c r="T62" s="4" t="str">
        <f t="shared" si="135"/>
        <v>0.00</v>
      </c>
      <c r="U62" s="4" t="str">
        <f t="shared" si="135"/>
        <v>0.00</v>
      </c>
      <c r="V62" s="4" t="str">
        <f t="shared" si="135"/>
        <v>0.00</v>
      </c>
      <c r="W62" s="4" t="str">
        <f t="shared" si="135"/>
        <v>0.00</v>
      </c>
      <c r="X62" s="4" t="str">
        <f t="shared" si="85"/>
        <v>0.00000</v>
      </c>
      <c r="Y62" s="4" t="str">
        <f t="shared" si="86"/>
        <v>0</v>
      </c>
      <c r="Z62" s="4" t="str">
        <f t="shared" si="87"/>
        <v>0</v>
      </c>
      <c r="AA62" s="4" t="str">
        <f t="shared" si="13"/>
        <v>人民币</v>
      </c>
      <c r="AB62" s="4" t="str">
        <f t="shared" si="14"/>
        <v>A368402599</v>
      </c>
    </row>
    <row r="63" spans="1:28">
      <c r="A63" s="4" t="str">
        <f>"20201230"</f>
        <v>20201230</v>
      </c>
      <c r="B63" s="4" t="str">
        <f>"20201230"</f>
        <v>20201230</v>
      </c>
      <c r="C63" s="4" t="str">
        <f t="shared" si="75"/>
        <v>0</v>
      </c>
      <c r="D63" s="4" t="str">
        <f t="shared" si="76"/>
        <v>00:00:00</v>
      </c>
      <c r="E63" s="4" t="str">
        <f t="shared" si="77"/>
        <v>港股通组合费</v>
      </c>
      <c r="F63" s="4" t="str">
        <f t="shared" si="78"/>
        <v/>
      </c>
      <c r="G63" s="4" t="str">
        <f t="shared" si="79"/>
        <v/>
      </c>
      <c r="H63" s="4" t="str">
        <f t="shared" si="80"/>
        <v>0.00</v>
      </c>
      <c r="I63" s="4" t="str">
        <f t="shared" si="81"/>
        <v>0</v>
      </c>
      <c r="J63" s="4" t="str">
        <f t="shared" si="133"/>
        <v>0.04</v>
      </c>
      <c r="K63" s="4" t="str">
        <f t="shared" si="134"/>
        <v>-0.04</v>
      </c>
      <c r="L63" s="4" t="str">
        <f t="shared" ref="L63:W63" si="136">"0.00"</f>
        <v>0.00</v>
      </c>
      <c r="M63" s="4" t="str">
        <f t="shared" si="83"/>
        <v>0.000</v>
      </c>
      <c r="N63" s="4" t="str">
        <f>"25.16"</f>
        <v>25.16</v>
      </c>
      <c r="O63" s="4" t="str">
        <f t="shared" si="84"/>
        <v>0</v>
      </c>
      <c r="P63" s="4" t="str">
        <f t="shared" si="136"/>
        <v>0.00</v>
      </c>
      <c r="Q63" s="4" t="str">
        <f t="shared" si="136"/>
        <v>0.00</v>
      </c>
      <c r="R63" s="4" t="str">
        <f t="shared" si="136"/>
        <v>0.00</v>
      </c>
      <c r="S63" s="4" t="str">
        <f t="shared" si="136"/>
        <v>0.00</v>
      </c>
      <c r="T63" s="4" t="str">
        <f t="shared" si="136"/>
        <v>0.00</v>
      </c>
      <c r="U63" s="4" t="str">
        <f t="shared" si="136"/>
        <v>0.00</v>
      </c>
      <c r="V63" s="4" t="str">
        <f t="shared" si="136"/>
        <v>0.00</v>
      </c>
      <c r="W63" s="4" t="str">
        <f t="shared" si="136"/>
        <v>0.00</v>
      </c>
      <c r="X63" s="4" t="str">
        <f t="shared" si="85"/>
        <v>0.00000</v>
      </c>
      <c r="Y63" s="4" t="str">
        <f t="shared" si="86"/>
        <v>0</v>
      </c>
      <c r="Z63" s="4" t="str">
        <f t="shared" si="87"/>
        <v>0</v>
      </c>
      <c r="AA63" s="4" t="str">
        <f t="shared" si="13"/>
        <v>人民币</v>
      </c>
      <c r="AB63" s="4" t="str">
        <f t="shared" si="14"/>
        <v>A368402599</v>
      </c>
    </row>
    <row r="64" spans="1:28">
      <c r="A64" s="4" t="str">
        <f>"20201231"</f>
        <v>20201231</v>
      </c>
      <c r="B64" s="4" t="str">
        <f>"20201231"</f>
        <v>20201231</v>
      </c>
      <c r="C64" s="4" t="str">
        <f t="shared" si="75"/>
        <v>0</v>
      </c>
      <c r="D64" s="4" t="str">
        <f t="shared" si="76"/>
        <v>00:00:00</v>
      </c>
      <c r="E64" s="4" t="str">
        <f t="shared" si="77"/>
        <v>港股通组合费</v>
      </c>
      <c r="F64" s="4" t="str">
        <f t="shared" si="78"/>
        <v/>
      </c>
      <c r="G64" s="4" t="str">
        <f t="shared" si="79"/>
        <v/>
      </c>
      <c r="H64" s="4" t="str">
        <f t="shared" si="80"/>
        <v>0.00</v>
      </c>
      <c r="I64" s="4" t="str">
        <f t="shared" si="81"/>
        <v>0</v>
      </c>
      <c r="J64" s="4" t="str">
        <f t="shared" si="133"/>
        <v>0.04</v>
      </c>
      <c r="K64" s="4" t="str">
        <f t="shared" si="134"/>
        <v>-0.04</v>
      </c>
      <c r="L64" s="4" t="str">
        <f t="shared" ref="L64:W64" si="137">"0.00"</f>
        <v>0.00</v>
      </c>
      <c r="M64" s="4" t="str">
        <f t="shared" si="83"/>
        <v>0.000</v>
      </c>
      <c r="N64" s="4" t="str">
        <f>"25.12"</f>
        <v>25.12</v>
      </c>
      <c r="O64" s="4" t="str">
        <f t="shared" si="84"/>
        <v>0</v>
      </c>
      <c r="P64" s="4" t="str">
        <f t="shared" si="137"/>
        <v>0.00</v>
      </c>
      <c r="Q64" s="4" t="str">
        <f t="shared" si="137"/>
        <v>0.00</v>
      </c>
      <c r="R64" s="4" t="str">
        <f t="shared" si="137"/>
        <v>0.00</v>
      </c>
      <c r="S64" s="4" t="str">
        <f t="shared" si="137"/>
        <v>0.00</v>
      </c>
      <c r="T64" s="4" t="str">
        <f t="shared" si="137"/>
        <v>0.00</v>
      </c>
      <c r="U64" s="4" t="str">
        <f t="shared" si="137"/>
        <v>0.00</v>
      </c>
      <c r="V64" s="4" t="str">
        <f t="shared" si="137"/>
        <v>0.00</v>
      </c>
      <c r="W64" s="4" t="str">
        <f t="shared" si="137"/>
        <v>0.00</v>
      </c>
      <c r="X64" s="4" t="str">
        <f t="shared" si="85"/>
        <v>0.00000</v>
      </c>
      <c r="Y64" s="4" t="str">
        <f t="shared" si="86"/>
        <v>0</v>
      </c>
      <c r="Z64" s="4" t="str">
        <f t="shared" si="87"/>
        <v>0</v>
      </c>
      <c r="AA64" s="4" t="str">
        <f t="shared" si="13"/>
        <v>人民币</v>
      </c>
      <c r="AB64" s="4" t="str">
        <f t="shared" si="14"/>
        <v>A368402599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zoomScaleSheetLayoutView="60" workbookViewId="0">
      <selection activeCell="P38" sqref="P38"/>
    </sheetView>
  </sheetViews>
  <sheetFormatPr defaultColWidth="9" defaultRowHeight="13.5" outlineLevelRow="4"/>
  <cols>
    <col min="1" max="16384" width="9" style="4"/>
  </cols>
  <sheetData>
    <row r="1" spans="1:15">
      <c r="A1" s="4" t="str">
        <f>"成交日期"</f>
        <v>成交日期</v>
      </c>
      <c r="B1" s="4" t="str">
        <f>"委托日期"</f>
        <v>委托日期</v>
      </c>
      <c r="C1" s="4" t="str">
        <f>"业务类型"</f>
        <v>业务类型</v>
      </c>
      <c r="D1" s="4" t="str">
        <f>"证券代码"</f>
        <v>证券代码</v>
      </c>
      <c r="E1" s="4" t="str">
        <f>"证券名称"</f>
        <v>证券名称</v>
      </c>
      <c r="F1" s="4" t="str">
        <f>"成交价格"</f>
        <v>成交价格</v>
      </c>
      <c r="G1" s="4" t="str">
        <f>"成交数量"</f>
        <v>成交数量</v>
      </c>
      <c r="H1" s="4" t="str">
        <f>"成交金额"</f>
        <v>成交金额</v>
      </c>
      <c r="I1" s="4" t="str">
        <f>"发生金额"</f>
        <v>发生金额</v>
      </c>
      <c r="J1" s="4" t="str">
        <f>"资金余额"</f>
        <v>资金余额</v>
      </c>
      <c r="K1" s="4" t="str">
        <f>"当前持仓"</f>
        <v>当前持仓</v>
      </c>
      <c r="L1" s="4" t="str">
        <f>"币种"</f>
        <v>币种</v>
      </c>
      <c r="M1" s="4" t="str">
        <f>"协议编号"</f>
        <v>协议编号</v>
      </c>
      <c r="N1" s="4" t="str">
        <f>"股东代码"</f>
        <v>股东代码</v>
      </c>
      <c r="O1" s="4" t="str">
        <f>"产品账号"</f>
        <v>产品账号</v>
      </c>
    </row>
    <row r="2" spans="1:15">
      <c r="A2" s="4" t="str">
        <f>"20210218"</f>
        <v>20210218</v>
      </c>
      <c r="B2" s="4" t="str">
        <f>"20210218"</f>
        <v>20210218</v>
      </c>
      <c r="C2" s="4" t="str">
        <f>"银行转证券"</f>
        <v>银行转证券</v>
      </c>
      <c r="F2" s="4">
        <v>0</v>
      </c>
      <c r="G2" s="4">
        <v>0</v>
      </c>
      <c r="H2" s="4">
        <v>0</v>
      </c>
      <c r="I2" s="4">
        <v>25000</v>
      </c>
      <c r="J2" s="4">
        <v>25023.13</v>
      </c>
      <c r="K2" s="4">
        <v>0</v>
      </c>
      <c r="L2" s="4" t="str">
        <f>"人民币"</f>
        <v>人民币</v>
      </c>
      <c r="O2" s="4" t="str">
        <f>"300100052893"</f>
        <v>300100052893</v>
      </c>
    </row>
    <row r="3" spans="1:15">
      <c r="A3" s="4" t="str">
        <f>"20210218"</f>
        <v>20210218</v>
      </c>
      <c r="B3" s="4" t="str">
        <f>"20210218"</f>
        <v>20210218</v>
      </c>
      <c r="C3" s="4" t="str">
        <f>"基金申购拨出"</f>
        <v>基金申购拨出</v>
      </c>
      <c r="D3" s="4" t="str">
        <f>"AA0007"</f>
        <v>AA0007</v>
      </c>
      <c r="E3" s="4" t="str">
        <f>"银河水星1号集合"</f>
        <v>银河水星1号集合</v>
      </c>
      <c r="F3" s="4">
        <v>0</v>
      </c>
      <c r="G3" s="4">
        <v>0</v>
      </c>
      <c r="H3" s="4">
        <v>0</v>
      </c>
      <c r="I3" s="4">
        <v>-5806.11</v>
      </c>
      <c r="J3" s="4">
        <v>19217.02</v>
      </c>
      <c r="K3" s="4">
        <v>0</v>
      </c>
      <c r="L3" s="4" t="str">
        <f>"人民币"</f>
        <v>人民币</v>
      </c>
      <c r="N3" s="4" t="str">
        <f>"980149593788"</f>
        <v>980149593788</v>
      </c>
      <c r="O3" s="4" t="str">
        <f>"300100052893"</f>
        <v>300100052893</v>
      </c>
    </row>
    <row r="4" spans="1:15">
      <c r="A4" s="4" t="str">
        <f>"20210319"</f>
        <v>20210319</v>
      </c>
      <c r="B4" s="4" t="str">
        <f>"20210319"</f>
        <v>20210319</v>
      </c>
      <c r="C4" s="4" t="str">
        <f>"利息归本"</f>
        <v>利息归本</v>
      </c>
      <c r="F4" s="4">
        <v>0</v>
      </c>
      <c r="G4" s="4">
        <v>0</v>
      </c>
      <c r="H4" s="4">
        <v>0</v>
      </c>
      <c r="I4" s="4">
        <v>0.96</v>
      </c>
      <c r="J4" s="4">
        <v>558.77</v>
      </c>
      <c r="K4" s="4">
        <v>0</v>
      </c>
      <c r="L4" s="4" t="str">
        <f>"人民币"</f>
        <v>人民币</v>
      </c>
      <c r="O4" s="4" t="str">
        <f>"300100052893"</f>
        <v>300100052893</v>
      </c>
    </row>
    <row r="5" spans="1:15">
      <c r="A5" s="4" t="str">
        <f>"20210322"</f>
        <v>20210322</v>
      </c>
      <c r="B5" s="4" t="str">
        <f>"0"</f>
        <v>0</v>
      </c>
      <c r="C5" s="4" t="str">
        <f>"基金红利拨入"</f>
        <v>基金红利拨入</v>
      </c>
      <c r="D5" s="4" t="str">
        <f>"AA0007"</f>
        <v>AA0007</v>
      </c>
      <c r="E5" s="4" t="str">
        <f>"银河水星1号集合"</f>
        <v>银河水星1号集合</v>
      </c>
      <c r="F5" s="4">
        <v>0</v>
      </c>
      <c r="G5" s="4">
        <v>0</v>
      </c>
      <c r="H5" s="4">
        <v>7.17</v>
      </c>
      <c r="I5" s="4">
        <v>7.17</v>
      </c>
      <c r="J5" s="4">
        <v>565.88</v>
      </c>
      <c r="K5" s="4">
        <v>0</v>
      </c>
      <c r="L5" s="4" t="str">
        <f>"人民币"</f>
        <v>人民币</v>
      </c>
      <c r="N5" s="4" t="str">
        <f>"980149593788"</f>
        <v>980149593788</v>
      </c>
      <c r="O5" s="4" t="str">
        <f>"300100052893"</f>
        <v>300100052893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B61"/>
  <sheetViews>
    <sheetView zoomScaleSheetLayoutView="60" workbookViewId="0">
      <selection activeCell="A3" sqref="A3:O61"/>
    </sheetView>
  </sheetViews>
  <sheetFormatPr defaultColWidth="9" defaultRowHeight="13.5"/>
  <cols>
    <col min="1" max="16384" width="9" style="4"/>
  </cols>
  <sheetData>
    <row r="2" spans="1:28">
      <c r="A2" s="4" t="str">
        <f>"交收日期"</f>
        <v>交收日期</v>
      </c>
      <c r="B2" s="4" t="str">
        <f>"清算日期"</f>
        <v>清算日期</v>
      </c>
      <c r="C2" s="4" t="str">
        <f>"委托日期"</f>
        <v>委托日期</v>
      </c>
      <c r="D2" s="4" t="str">
        <f>"委托时间"</f>
        <v>委托时间</v>
      </c>
      <c r="E2" s="4" t="str">
        <f>"业务类型"</f>
        <v>业务类型</v>
      </c>
      <c r="F2" s="4" t="str">
        <f>"证券代码"</f>
        <v>证券代码</v>
      </c>
      <c r="G2" s="4" t="str">
        <f>"证券名称"</f>
        <v>证券名称</v>
      </c>
      <c r="H2" s="4" t="str">
        <f>"成交价格"</f>
        <v>成交价格</v>
      </c>
      <c r="I2" s="4" t="str">
        <f>"成交数量"</f>
        <v>成交数量</v>
      </c>
      <c r="J2" s="4" t="str">
        <f>"成交金额"</f>
        <v>成交金额</v>
      </c>
      <c r="K2" s="4" t="str">
        <f>"发生金额"</f>
        <v>发生金额</v>
      </c>
      <c r="L2" s="4" t="str">
        <f>"委托数量"</f>
        <v>委托数量</v>
      </c>
      <c r="M2" s="4" t="str">
        <f>"委托价格(港币)"</f>
        <v>委托价格(港币)</v>
      </c>
      <c r="N2" s="4" t="str">
        <f>"剩余金额"</f>
        <v>剩余金额</v>
      </c>
      <c r="O2" s="4" t="str">
        <f>"证券数量"</f>
        <v>证券数量</v>
      </c>
      <c r="P2" s="4" t="str">
        <f>"印花税"</f>
        <v>印花税</v>
      </c>
      <c r="Q2" s="4" t="str">
        <f>"手续费"</f>
        <v>手续费</v>
      </c>
      <c r="R2" s="4" t="str">
        <f>"股份交收费"</f>
        <v>股份交收费</v>
      </c>
      <c r="S2" s="4" t="str">
        <f>"交易费"</f>
        <v>交易费</v>
      </c>
      <c r="T2" s="4" t="str">
        <f>"前台费"</f>
        <v>前台费</v>
      </c>
      <c r="U2" s="4" t="str">
        <f>"交易系统使用费"</f>
        <v>交易系统使用费</v>
      </c>
      <c r="V2" s="4" t="str">
        <f>"交易征费"</f>
        <v>交易征费</v>
      </c>
      <c r="W2" s="4" t="str">
        <f>"其他费"</f>
        <v>其他费</v>
      </c>
      <c r="X2" s="4" t="str">
        <f>"结算汇率"</f>
        <v>结算汇率</v>
      </c>
      <c r="Y2" s="4" t="str">
        <f>"协议编号"</f>
        <v>协议编号</v>
      </c>
      <c r="Z2" s="4" t="str">
        <f>"成交时间"</f>
        <v>成交时间</v>
      </c>
      <c r="AA2" s="4" t="str">
        <f>"币种"</f>
        <v>币种</v>
      </c>
      <c r="AB2" s="4" t="str">
        <f>"股东代码"</f>
        <v>股东代码</v>
      </c>
    </row>
    <row r="3" spans="1:28">
      <c r="A3" s="4" t="str">
        <f>"20210104"</f>
        <v>20210104</v>
      </c>
      <c r="B3" s="4" t="str">
        <f>"20210104"</f>
        <v>20210104</v>
      </c>
      <c r="C3" s="4" t="str">
        <f t="shared" ref="C3:C32" si="0">"0"</f>
        <v>0</v>
      </c>
      <c r="D3" s="4" t="str">
        <f t="shared" ref="D3:D32" si="1">"00:00:00"</f>
        <v>00:00:00</v>
      </c>
      <c r="E3" s="4" t="str">
        <f t="shared" ref="E3:E32" si="2">"港股通组合费"</f>
        <v>港股通组合费</v>
      </c>
      <c r="F3" s="4" t="str">
        <f t="shared" ref="F3:F32" si="3">""</f>
        <v/>
      </c>
      <c r="G3" s="4" t="str">
        <f t="shared" ref="G3:G32" si="4">""</f>
        <v/>
      </c>
      <c r="H3" s="4" t="str">
        <f t="shared" ref="H3:H32" si="5">"0.00"</f>
        <v>0.00</v>
      </c>
      <c r="I3" s="4" t="str">
        <f t="shared" ref="I3:I32" si="6">"0"</f>
        <v>0</v>
      </c>
      <c r="J3" s="4" t="str">
        <f>"0.17"</f>
        <v>0.17</v>
      </c>
      <c r="K3" s="4" t="str">
        <f>"-0.17"</f>
        <v>-0.17</v>
      </c>
      <c r="L3" s="4" t="str">
        <f t="shared" ref="L3:W3" si="7">"0.00"</f>
        <v>0.00</v>
      </c>
      <c r="M3" s="4" t="str">
        <f t="shared" ref="M3:M32" si="8">"0.000"</f>
        <v>0.000</v>
      </c>
      <c r="N3" s="4" t="str">
        <f>"24.95"</f>
        <v>24.95</v>
      </c>
      <c r="O3" s="4" t="str">
        <f t="shared" ref="O3:O32" si="9">"0"</f>
        <v>0</v>
      </c>
      <c r="P3" s="4" t="str">
        <f t="shared" si="7"/>
        <v>0.00</v>
      </c>
      <c r="Q3" s="4" t="str">
        <f t="shared" si="7"/>
        <v>0.00</v>
      </c>
      <c r="R3" s="4" t="str">
        <f t="shared" si="7"/>
        <v>0.00</v>
      </c>
      <c r="S3" s="4" t="str">
        <f t="shared" si="7"/>
        <v>0.00</v>
      </c>
      <c r="T3" s="4" t="str">
        <f t="shared" si="7"/>
        <v>0.00</v>
      </c>
      <c r="U3" s="4" t="str">
        <f t="shared" si="7"/>
        <v>0.00</v>
      </c>
      <c r="V3" s="4" t="str">
        <f t="shared" si="7"/>
        <v>0.00</v>
      </c>
      <c r="W3" s="4" t="str">
        <f t="shared" si="7"/>
        <v>0.00</v>
      </c>
      <c r="X3" s="4" t="str">
        <f t="shared" ref="X3:X32" si="10">"0.00000"</f>
        <v>0.00000</v>
      </c>
      <c r="Y3" s="4" t="str">
        <f t="shared" ref="Y3:Y32" si="11">"0"</f>
        <v>0</v>
      </c>
      <c r="Z3" s="4" t="str">
        <f t="shared" ref="Z3:Z32" si="12">"0"</f>
        <v>0</v>
      </c>
      <c r="AA3" s="4" t="str">
        <f t="shared" ref="AA3:AA61" si="13">"人民币"</f>
        <v>人民币</v>
      </c>
      <c r="AB3" s="4" t="str">
        <f t="shared" ref="AB3:AB61" si="14">"A368402599"</f>
        <v>A368402599</v>
      </c>
    </row>
    <row r="4" spans="1:28">
      <c r="A4" s="4" t="str">
        <f>"20210105"</f>
        <v>20210105</v>
      </c>
      <c r="B4" s="4" t="str">
        <f>"20210105"</f>
        <v>20210105</v>
      </c>
      <c r="C4" s="4" t="str">
        <f t="shared" si="0"/>
        <v>0</v>
      </c>
      <c r="D4" s="4" t="str">
        <f t="shared" si="1"/>
        <v>00:00:00</v>
      </c>
      <c r="E4" s="4" t="str">
        <f t="shared" si="2"/>
        <v>港股通组合费</v>
      </c>
      <c r="F4" s="4" t="str">
        <f t="shared" si="3"/>
        <v/>
      </c>
      <c r="G4" s="4" t="str">
        <f t="shared" si="4"/>
        <v/>
      </c>
      <c r="H4" s="4" t="str">
        <f t="shared" si="5"/>
        <v>0.00</v>
      </c>
      <c r="I4" s="4" t="str">
        <f t="shared" si="6"/>
        <v>0</v>
      </c>
      <c r="J4" s="4" t="str">
        <f t="shared" ref="J4:J6" si="15">"0.04"</f>
        <v>0.04</v>
      </c>
      <c r="K4" s="4" t="str">
        <f t="shared" ref="K4:K6" si="16">"-0.04"</f>
        <v>-0.04</v>
      </c>
      <c r="L4" s="4" t="str">
        <f t="shared" ref="L4:W4" si="17">"0.00"</f>
        <v>0.00</v>
      </c>
      <c r="M4" s="4" t="str">
        <f t="shared" si="8"/>
        <v>0.000</v>
      </c>
      <c r="N4" s="4" t="str">
        <f>"24.91"</f>
        <v>24.91</v>
      </c>
      <c r="O4" s="4" t="str">
        <f t="shared" si="9"/>
        <v>0</v>
      </c>
      <c r="P4" s="4" t="str">
        <f t="shared" si="17"/>
        <v>0.00</v>
      </c>
      <c r="Q4" s="4" t="str">
        <f t="shared" si="17"/>
        <v>0.00</v>
      </c>
      <c r="R4" s="4" t="str">
        <f t="shared" si="17"/>
        <v>0.00</v>
      </c>
      <c r="S4" s="4" t="str">
        <f t="shared" si="17"/>
        <v>0.00</v>
      </c>
      <c r="T4" s="4" t="str">
        <f t="shared" si="17"/>
        <v>0.00</v>
      </c>
      <c r="U4" s="4" t="str">
        <f t="shared" si="17"/>
        <v>0.00</v>
      </c>
      <c r="V4" s="4" t="str">
        <f t="shared" si="17"/>
        <v>0.00</v>
      </c>
      <c r="W4" s="4" t="str">
        <f t="shared" si="17"/>
        <v>0.00</v>
      </c>
      <c r="X4" s="4" t="str">
        <f t="shared" si="10"/>
        <v>0.00000</v>
      </c>
      <c r="Y4" s="4" t="str">
        <f t="shared" si="11"/>
        <v>0</v>
      </c>
      <c r="Z4" s="4" t="str">
        <f t="shared" si="12"/>
        <v>0</v>
      </c>
      <c r="AA4" s="4" t="str">
        <f t="shared" si="13"/>
        <v>人民币</v>
      </c>
      <c r="AB4" s="4" t="str">
        <f t="shared" si="14"/>
        <v>A368402599</v>
      </c>
    </row>
    <row r="5" spans="1:28">
      <c r="A5" s="4" t="str">
        <f>"20210106"</f>
        <v>20210106</v>
      </c>
      <c r="B5" s="4" t="str">
        <f>"20210106"</f>
        <v>20210106</v>
      </c>
      <c r="C5" s="4" t="str">
        <f t="shared" si="0"/>
        <v>0</v>
      </c>
      <c r="D5" s="4" t="str">
        <f t="shared" si="1"/>
        <v>00:00:00</v>
      </c>
      <c r="E5" s="4" t="str">
        <f t="shared" si="2"/>
        <v>港股通组合费</v>
      </c>
      <c r="F5" s="4" t="str">
        <f t="shared" si="3"/>
        <v/>
      </c>
      <c r="G5" s="4" t="str">
        <f t="shared" si="4"/>
        <v/>
      </c>
      <c r="H5" s="4" t="str">
        <f t="shared" si="5"/>
        <v>0.00</v>
      </c>
      <c r="I5" s="4" t="str">
        <f t="shared" si="6"/>
        <v>0</v>
      </c>
      <c r="J5" s="4" t="str">
        <f t="shared" si="15"/>
        <v>0.04</v>
      </c>
      <c r="K5" s="4" t="str">
        <f t="shared" si="16"/>
        <v>-0.04</v>
      </c>
      <c r="L5" s="4" t="str">
        <f t="shared" ref="L5:W5" si="18">"0.00"</f>
        <v>0.00</v>
      </c>
      <c r="M5" s="4" t="str">
        <f t="shared" si="8"/>
        <v>0.000</v>
      </c>
      <c r="N5" s="4" t="str">
        <f>"24.87"</f>
        <v>24.87</v>
      </c>
      <c r="O5" s="4" t="str">
        <f t="shared" si="9"/>
        <v>0</v>
      </c>
      <c r="P5" s="4" t="str">
        <f t="shared" si="18"/>
        <v>0.00</v>
      </c>
      <c r="Q5" s="4" t="str">
        <f t="shared" si="18"/>
        <v>0.00</v>
      </c>
      <c r="R5" s="4" t="str">
        <f t="shared" si="18"/>
        <v>0.00</v>
      </c>
      <c r="S5" s="4" t="str">
        <f t="shared" si="18"/>
        <v>0.00</v>
      </c>
      <c r="T5" s="4" t="str">
        <f t="shared" si="18"/>
        <v>0.00</v>
      </c>
      <c r="U5" s="4" t="str">
        <f t="shared" si="18"/>
        <v>0.00</v>
      </c>
      <c r="V5" s="4" t="str">
        <f t="shared" si="18"/>
        <v>0.00</v>
      </c>
      <c r="W5" s="4" t="str">
        <f t="shared" si="18"/>
        <v>0.00</v>
      </c>
      <c r="X5" s="4" t="str">
        <f t="shared" si="10"/>
        <v>0.00000</v>
      </c>
      <c r="Y5" s="4" t="str">
        <f t="shared" si="11"/>
        <v>0</v>
      </c>
      <c r="Z5" s="4" t="str">
        <f t="shared" si="12"/>
        <v>0</v>
      </c>
      <c r="AA5" s="4" t="str">
        <f t="shared" si="13"/>
        <v>人民币</v>
      </c>
      <c r="AB5" s="4" t="str">
        <f t="shared" si="14"/>
        <v>A368402599</v>
      </c>
    </row>
    <row r="6" spans="1:28">
      <c r="A6" s="4" t="str">
        <f>"20210107"</f>
        <v>20210107</v>
      </c>
      <c r="B6" s="4" t="str">
        <f>"20210107"</f>
        <v>20210107</v>
      </c>
      <c r="C6" s="4" t="str">
        <f t="shared" si="0"/>
        <v>0</v>
      </c>
      <c r="D6" s="4" t="str">
        <f t="shared" si="1"/>
        <v>00:00:00</v>
      </c>
      <c r="E6" s="4" t="str">
        <f t="shared" si="2"/>
        <v>港股通组合费</v>
      </c>
      <c r="F6" s="4" t="str">
        <f t="shared" si="3"/>
        <v/>
      </c>
      <c r="G6" s="4" t="str">
        <f t="shared" si="4"/>
        <v/>
      </c>
      <c r="H6" s="4" t="str">
        <f t="shared" si="5"/>
        <v>0.00</v>
      </c>
      <c r="I6" s="4" t="str">
        <f t="shared" si="6"/>
        <v>0</v>
      </c>
      <c r="J6" s="4" t="str">
        <f t="shared" si="15"/>
        <v>0.04</v>
      </c>
      <c r="K6" s="4" t="str">
        <f t="shared" si="16"/>
        <v>-0.04</v>
      </c>
      <c r="L6" s="4" t="str">
        <f t="shared" ref="L6:W6" si="19">"0.00"</f>
        <v>0.00</v>
      </c>
      <c r="M6" s="4" t="str">
        <f t="shared" si="8"/>
        <v>0.000</v>
      </c>
      <c r="N6" s="4" t="str">
        <f>"24.83"</f>
        <v>24.83</v>
      </c>
      <c r="O6" s="4" t="str">
        <f t="shared" si="9"/>
        <v>0</v>
      </c>
      <c r="P6" s="4" t="str">
        <f t="shared" si="19"/>
        <v>0.00</v>
      </c>
      <c r="Q6" s="4" t="str">
        <f t="shared" si="19"/>
        <v>0.00</v>
      </c>
      <c r="R6" s="4" t="str">
        <f t="shared" si="19"/>
        <v>0.00</v>
      </c>
      <c r="S6" s="4" t="str">
        <f t="shared" si="19"/>
        <v>0.00</v>
      </c>
      <c r="T6" s="4" t="str">
        <f t="shared" si="19"/>
        <v>0.00</v>
      </c>
      <c r="U6" s="4" t="str">
        <f t="shared" si="19"/>
        <v>0.00</v>
      </c>
      <c r="V6" s="4" t="str">
        <f t="shared" si="19"/>
        <v>0.00</v>
      </c>
      <c r="W6" s="4" t="str">
        <f t="shared" si="19"/>
        <v>0.00</v>
      </c>
      <c r="X6" s="4" t="str">
        <f t="shared" si="10"/>
        <v>0.00000</v>
      </c>
      <c r="Y6" s="4" t="str">
        <f t="shared" si="11"/>
        <v>0</v>
      </c>
      <c r="Z6" s="4" t="str">
        <f t="shared" si="12"/>
        <v>0</v>
      </c>
      <c r="AA6" s="4" t="str">
        <f t="shared" si="13"/>
        <v>人民币</v>
      </c>
      <c r="AB6" s="4" t="str">
        <f t="shared" si="14"/>
        <v>A368402599</v>
      </c>
    </row>
    <row r="7" spans="1:28">
      <c r="A7" s="4" t="str">
        <f>"20210108"</f>
        <v>20210108</v>
      </c>
      <c r="B7" s="4" t="str">
        <f>"20210108"</f>
        <v>20210108</v>
      </c>
      <c r="C7" s="4" t="str">
        <f t="shared" si="0"/>
        <v>0</v>
      </c>
      <c r="D7" s="4" t="str">
        <f t="shared" si="1"/>
        <v>00:00:00</v>
      </c>
      <c r="E7" s="4" t="str">
        <f t="shared" si="2"/>
        <v>港股通组合费</v>
      </c>
      <c r="F7" s="4" t="str">
        <f t="shared" si="3"/>
        <v/>
      </c>
      <c r="G7" s="4" t="str">
        <f t="shared" si="4"/>
        <v/>
      </c>
      <c r="H7" s="4" t="str">
        <f t="shared" si="5"/>
        <v>0.00</v>
      </c>
      <c r="I7" s="4" t="str">
        <f t="shared" si="6"/>
        <v>0</v>
      </c>
      <c r="J7" s="4" t="str">
        <f t="shared" ref="J7:J12" si="20">"0.05"</f>
        <v>0.05</v>
      </c>
      <c r="K7" s="4" t="str">
        <f t="shared" ref="K7:K12" si="21">"-0.05"</f>
        <v>-0.05</v>
      </c>
      <c r="L7" s="4" t="str">
        <f t="shared" ref="L7:W7" si="22">"0.00"</f>
        <v>0.00</v>
      </c>
      <c r="M7" s="4" t="str">
        <f t="shared" si="8"/>
        <v>0.000</v>
      </c>
      <c r="N7" s="4" t="str">
        <f>"24.78"</f>
        <v>24.78</v>
      </c>
      <c r="O7" s="4" t="str">
        <f t="shared" si="9"/>
        <v>0</v>
      </c>
      <c r="P7" s="4" t="str">
        <f t="shared" si="22"/>
        <v>0.00</v>
      </c>
      <c r="Q7" s="4" t="str">
        <f t="shared" si="22"/>
        <v>0.00</v>
      </c>
      <c r="R7" s="4" t="str">
        <f t="shared" si="22"/>
        <v>0.00</v>
      </c>
      <c r="S7" s="4" t="str">
        <f t="shared" si="22"/>
        <v>0.00</v>
      </c>
      <c r="T7" s="4" t="str">
        <f t="shared" si="22"/>
        <v>0.00</v>
      </c>
      <c r="U7" s="4" t="str">
        <f t="shared" si="22"/>
        <v>0.00</v>
      </c>
      <c r="V7" s="4" t="str">
        <f t="shared" si="22"/>
        <v>0.00</v>
      </c>
      <c r="W7" s="4" t="str">
        <f t="shared" si="22"/>
        <v>0.00</v>
      </c>
      <c r="X7" s="4" t="str">
        <f t="shared" si="10"/>
        <v>0.00000</v>
      </c>
      <c r="Y7" s="4" t="str">
        <f t="shared" si="11"/>
        <v>0</v>
      </c>
      <c r="Z7" s="4" t="str">
        <f t="shared" si="12"/>
        <v>0</v>
      </c>
      <c r="AA7" s="4" t="str">
        <f t="shared" si="13"/>
        <v>人民币</v>
      </c>
      <c r="AB7" s="4" t="str">
        <f t="shared" si="14"/>
        <v>A368402599</v>
      </c>
    </row>
    <row r="8" spans="1:28">
      <c r="A8" s="4" t="str">
        <f>"20210111"</f>
        <v>20210111</v>
      </c>
      <c r="B8" s="4" t="str">
        <f>"20210111"</f>
        <v>20210111</v>
      </c>
      <c r="C8" s="4" t="str">
        <f t="shared" si="0"/>
        <v>0</v>
      </c>
      <c r="D8" s="4" t="str">
        <f t="shared" si="1"/>
        <v>00:00:00</v>
      </c>
      <c r="E8" s="4" t="str">
        <f t="shared" si="2"/>
        <v>港股通组合费</v>
      </c>
      <c r="F8" s="4" t="str">
        <f t="shared" si="3"/>
        <v/>
      </c>
      <c r="G8" s="4" t="str">
        <f t="shared" si="4"/>
        <v/>
      </c>
      <c r="H8" s="4" t="str">
        <f t="shared" si="5"/>
        <v>0.00</v>
      </c>
      <c r="I8" s="4" t="str">
        <f t="shared" si="6"/>
        <v>0</v>
      </c>
      <c r="J8" s="4" t="str">
        <f>"0.15"</f>
        <v>0.15</v>
      </c>
      <c r="K8" s="4" t="str">
        <f>"-0.15"</f>
        <v>-0.15</v>
      </c>
      <c r="L8" s="4" t="str">
        <f t="shared" ref="L8:W8" si="23">"0.00"</f>
        <v>0.00</v>
      </c>
      <c r="M8" s="4" t="str">
        <f t="shared" si="8"/>
        <v>0.000</v>
      </c>
      <c r="N8" s="4" t="str">
        <f>"24.63"</f>
        <v>24.63</v>
      </c>
      <c r="O8" s="4" t="str">
        <f t="shared" si="9"/>
        <v>0</v>
      </c>
      <c r="P8" s="4" t="str">
        <f t="shared" si="23"/>
        <v>0.00</v>
      </c>
      <c r="Q8" s="4" t="str">
        <f t="shared" si="23"/>
        <v>0.00</v>
      </c>
      <c r="R8" s="4" t="str">
        <f t="shared" si="23"/>
        <v>0.00</v>
      </c>
      <c r="S8" s="4" t="str">
        <f t="shared" si="23"/>
        <v>0.00</v>
      </c>
      <c r="T8" s="4" t="str">
        <f t="shared" si="23"/>
        <v>0.00</v>
      </c>
      <c r="U8" s="4" t="str">
        <f t="shared" si="23"/>
        <v>0.00</v>
      </c>
      <c r="V8" s="4" t="str">
        <f t="shared" si="23"/>
        <v>0.00</v>
      </c>
      <c r="W8" s="4" t="str">
        <f t="shared" si="23"/>
        <v>0.00</v>
      </c>
      <c r="X8" s="4" t="str">
        <f t="shared" si="10"/>
        <v>0.00000</v>
      </c>
      <c r="Y8" s="4" t="str">
        <f t="shared" si="11"/>
        <v>0</v>
      </c>
      <c r="Z8" s="4" t="str">
        <f t="shared" si="12"/>
        <v>0</v>
      </c>
      <c r="AA8" s="4" t="str">
        <f t="shared" si="13"/>
        <v>人民币</v>
      </c>
      <c r="AB8" s="4" t="str">
        <f t="shared" si="14"/>
        <v>A368402599</v>
      </c>
    </row>
    <row r="9" spans="1:28">
      <c r="A9" s="4" t="str">
        <f>"20210112"</f>
        <v>20210112</v>
      </c>
      <c r="B9" s="4" t="str">
        <f>"20210112"</f>
        <v>20210112</v>
      </c>
      <c r="C9" s="4" t="str">
        <f t="shared" si="0"/>
        <v>0</v>
      </c>
      <c r="D9" s="4" t="str">
        <f t="shared" si="1"/>
        <v>00:00:00</v>
      </c>
      <c r="E9" s="4" t="str">
        <f t="shared" si="2"/>
        <v>港股通组合费</v>
      </c>
      <c r="F9" s="4" t="str">
        <f t="shared" si="3"/>
        <v/>
      </c>
      <c r="G9" s="4" t="str">
        <f t="shared" si="4"/>
        <v/>
      </c>
      <c r="H9" s="4" t="str">
        <f t="shared" si="5"/>
        <v>0.00</v>
      </c>
      <c r="I9" s="4" t="str">
        <f t="shared" si="6"/>
        <v>0</v>
      </c>
      <c r="J9" s="4" t="str">
        <f t="shared" si="20"/>
        <v>0.05</v>
      </c>
      <c r="K9" s="4" t="str">
        <f t="shared" si="21"/>
        <v>-0.05</v>
      </c>
      <c r="L9" s="4" t="str">
        <f t="shared" ref="L9:W9" si="24">"0.00"</f>
        <v>0.00</v>
      </c>
      <c r="M9" s="4" t="str">
        <f t="shared" si="8"/>
        <v>0.000</v>
      </c>
      <c r="N9" s="4" t="str">
        <f>"24.58"</f>
        <v>24.58</v>
      </c>
      <c r="O9" s="4" t="str">
        <f t="shared" si="9"/>
        <v>0</v>
      </c>
      <c r="P9" s="4" t="str">
        <f t="shared" si="24"/>
        <v>0.00</v>
      </c>
      <c r="Q9" s="4" t="str">
        <f t="shared" si="24"/>
        <v>0.00</v>
      </c>
      <c r="R9" s="4" t="str">
        <f t="shared" si="24"/>
        <v>0.00</v>
      </c>
      <c r="S9" s="4" t="str">
        <f t="shared" si="24"/>
        <v>0.00</v>
      </c>
      <c r="T9" s="4" t="str">
        <f t="shared" si="24"/>
        <v>0.00</v>
      </c>
      <c r="U9" s="4" t="str">
        <f t="shared" si="24"/>
        <v>0.00</v>
      </c>
      <c r="V9" s="4" t="str">
        <f t="shared" si="24"/>
        <v>0.00</v>
      </c>
      <c r="W9" s="4" t="str">
        <f t="shared" si="24"/>
        <v>0.00</v>
      </c>
      <c r="X9" s="4" t="str">
        <f t="shared" si="10"/>
        <v>0.00000</v>
      </c>
      <c r="Y9" s="4" t="str">
        <f t="shared" si="11"/>
        <v>0</v>
      </c>
      <c r="Z9" s="4" t="str">
        <f t="shared" si="12"/>
        <v>0</v>
      </c>
      <c r="AA9" s="4" t="str">
        <f t="shared" si="13"/>
        <v>人民币</v>
      </c>
      <c r="AB9" s="4" t="str">
        <f t="shared" si="14"/>
        <v>A368402599</v>
      </c>
    </row>
    <row r="10" spans="1:28">
      <c r="A10" s="4" t="str">
        <f>"20210113"</f>
        <v>20210113</v>
      </c>
      <c r="B10" s="4" t="str">
        <f>"20210113"</f>
        <v>20210113</v>
      </c>
      <c r="C10" s="4" t="str">
        <f t="shared" si="0"/>
        <v>0</v>
      </c>
      <c r="D10" s="4" t="str">
        <f t="shared" si="1"/>
        <v>00:00:00</v>
      </c>
      <c r="E10" s="4" t="str">
        <f t="shared" si="2"/>
        <v>港股通组合费</v>
      </c>
      <c r="F10" s="4" t="str">
        <f t="shared" si="3"/>
        <v/>
      </c>
      <c r="G10" s="4" t="str">
        <f t="shared" si="4"/>
        <v/>
      </c>
      <c r="H10" s="4" t="str">
        <f t="shared" si="5"/>
        <v>0.00</v>
      </c>
      <c r="I10" s="4" t="str">
        <f t="shared" si="6"/>
        <v>0</v>
      </c>
      <c r="J10" s="4" t="str">
        <f t="shared" si="20"/>
        <v>0.05</v>
      </c>
      <c r="K10" s="4" t="str">
        <f t="shared" si="21"/>
        <v>-0.05</v>
      </c>
      <c r="L10" s="4" t="str">
        <f t="shared" ref="L10:W10" si="25">"0.00"</f>
        <v>0.00</v>
      </c>
      <c r="M10" s="4" t="str">
        <f t="shared" si="8"/>
        <v>0.000</v>
      </c>
      <c r="N10" s="4" t="str">
        <f>"24.53"</f>
        <v>24.53</v>
      </c>
      <c r="O10" s="4" t="str">
        <f t="shared" si="9"/>
        <v>0</v>
      </c>
      <c r="P10" s="4" t="str">
        <f t="shared" si="25"/>
        <v>0.00</v>
      </c>
      <c r="Q10" s="4" t="str">
        <f t="shared" si="25"/>
        <v>0.00</v>
      </c>
      <c r="R10" s="4" t="str">
        <f t="shared" si="25"/>
        <v>0.00</v>
      </c>
      <c r="S10" s="4" t="str">
        <f t="shared" si="25"/>
        <v>0.00</v>
      </c>
      <c r="T10" s="4" t="str">
        <f t="shared" si="25"/>
        <v>0.00</v>
      </c>
      <c r="U10" s="4" t="str">
        <f t="shared" si="25"/>
        <v>0.00</v>
      </c>
      <c r="V10" s="4" t="str">
        <f t="shared" si="25"/>
        <v>0.00</v>
      </c>
      <c r="W10" s="4" t="str">
        <f t="shared" si="25"/>
        <v>0.00</v>
      </c>
      <c r="X10" s="4" t="str">
        <f t="shared" si="10"/>
        <v>0.00000</v>
      </c>
      <c r="Y10" s="4" t="str">
        <f t="shared" si="11"/>
        <v>0</v>
      </c>
      <c r="Z10" s="4" t="str">
        <f t="shared" si="12"/>
        <v>0</v>
      </c>
      <c r="AA10" s="4" t="str">
        <f t="shared" si="13"/>
        <v>人民币</v>
      </c>
      <c r="AB10" s="4" t="str">
        <f t="shared" si="14"/>
        <v>A368402599</v>
      </c>
    </row>
    <row r="11" spans="1:28">
      <c r="A11" s="4" t="str">
        <f>"20210114"</f>
        <v>20210114</v>
      </c>
      <c r="B11" s="4" t="str">
        <f>"20210114"</f>
        <v>20210114</v>
      </c>
      <c r="C11" s="4" t="str">
        <f t="shared" si="0"/>
        <v>0</v>
      </c>
      <c r="D11" s="4" t="str">
        <f t="shared" si="1"/>
        <v>00:00:00</v>
      </c>
      <c r="E11" s="4" t="str">
        <f t="shared" si="2"/>
        <v>港股通组合费</v>
      </c>
      <c r="F11" s="4" t="str">
        <f t="shared" si="3"/>
        <v/>
      </c>
      <c r="G11" s="4" t="str">
        <f t="shared" si="4"/>
        <v/>
      </c>
      <c r="H11" s="4" t="str">
        <f t="shared" si="5"/>
        <v>0.00</v>
      </c>
      <c r="I11" s="4" t="str">
        <f t="shared" si="6"/>
        <v>0</v>
      </c>
      <c r="J11" s="4" t="str">
        <f t="shared" si="20"/>
        <v>0.05</v>
      </c>
      <c r="K11" s="4" t="str">
        <f t="shared" si="21"/>
        <v>-0.05</v>
      </c>
      <c r="L11" s="4" t="str">
        <f t="shared" ref="L11:W11" si="26">"0.00"</f>
        <v>0.00</v>
      </c>
      <c r="M11" s="4" t="str">
        <f t="shared" si="8"/>
        <v>0.000</v>
      </c>
      <c r="N11" s="4" t="str">
        <f>"24.48"</f>
        <v>24.48</v>
      </c>
      <c r="O11" s="4" t="str">
        <f t="shared" si="9"/>
        <v>0</v>
      </c>
      <c r="P11" s="4" t="str">
        <f t="shared" si="26"/>
        <v>0.00</v>
      </c>
      <c r="Q11" s="4" t="str">
        <f t="shared" si="26"/>
        <v>0.00</v>
      </c>
      <c r="R11" s="4" t="str">
        <f t="shared" si="26"/>
        <v>0.00</v>
      </c>
      <c r="S11" s="4" t="str">
        <f t="shared" si="26"/>
        <v>0.00</v>
      </c>
      <c r="T11" s="4" t="str">
        <f t="shared" si="26"/>
        <v>0.00</v>
      </c>
      <c r="U11" s="4" t="str">
        <f t="shared" si="26"/>
        <v>0.00</v>
      </c>
      <c r="V11" s="4" t="str">
        <f t="shared" si="26"/>
        <v>0.00</v>
      </c>
      <c r="W11" s="4" t="str">
        <f t="shared" si="26"/>
        <v>0.00</v>
      </c>
      <c r="X11" s="4" t="str">
        <f t="shared" si="10"/>
        <v>0.00000</v>
      </c>
      <c r="Y11" s="4" t="str">
        <f t="shared" si="11"/>
        <v>0</v>
      </c>
      <c r="Z11" s="4" t="str">
        <f t="shared" si="12"/>
        <v>0</v>
      </c>
      <c r="AA11" s="4" t="str">
        <f t="shared" si="13"/>
        <v>人民币</v>
      </c>
      <c r="AB11" s="4" t="str">
        <f t="shared" si="14"/>
        <v>A368402599</v>
      </c>
    </row>
    <row r="12" spans="1:28">
      <c r="A12" s="4" t="str">
        <f>"20210115"</f>
        <v>20210115</v>
      </c>
      <c r="B12" s="4" t="str">
        <f>"20210115"</f>
        <v>20210115</v>
      </c>
      <c r="C12" s="4" t="str">
        <f t="shared" si="0"/>
        <v>0</v>
      </c>
      <c r="D12" s="4" t="str">
        <f t="shared" si="1"/>
        <v>00:00:00</v>
      </c>
      <c r="E12" s="4" t="str">
        <f t="shared" si="2"/>
        <v>港股通组合费</v>
      </c>
      <c r="F12" s="4" t="str">
        <f t="shared" si="3"/>
        <v/>
      </c>
      <c r="G12" s="4" t="str">
        <f t="shared" si="4"/>
        <v/>
      </c>
      <c r="H12" s="4" t="str">
        <f t="shared" si="5"/>
        <v>0.00</v>
      </c>
      <c r="I12" s="4" t="str">
        <f t="shared" si="6"/>
        <v>0</v>
      </c>
      <c r="J12" s="4" t="str">
        <f t="shared" si="20"/>
        <v>0.05</v>
      </c>
      <c r="K12" s="4" t="str">
        <f t="shared" si="21"/>
        <v>-0.05</v>
      </c>
      <c r="L12" s="4" t="str">
        <f t="shared" ref="L12:W12" si="27">"0.00"</f>
        <v>0.00</v>
      </c>
      <c r="M12" s="4" t="str">
        <f t="shared" si="8"/>
        <v>0.000</v>
      </c>
      <c r="N12" s="4" t="str">
        <f>"24.43"</f>
        <v>24.43</v>
      </c>
      <c r="O12" s="4" t="str">
        <f t="shared" si="9"/>
        <v>0</v>
      </c>
      <c r="P12" s="4" t="str">
        <f t="shared" si="27"/>
        <v>0.00</v>
      </c>
      <c r="Q12" s="4" t="str">
        <f t="shared" si="27"/>
        <v>0.00</v>
      </c>
      <c r="R12" s="4" t="str">
        <f t="shared" si="27"/>
        <v>0.00</v>
      </c>
      <c r="S12" s="4" t="str">
        <f t="shared" si="27"/>
        <v>0.00</v>
      </c>
      <c r="T12" s="4" t="str">
        <f t="shared" si="27"/>
        <v>0.00</v>
      </c>
      <c r="U12" s="4" t="str">
        <f t="shared" si="27"/>
        <v>0.00</v>
      </c>
      <c r="V12" s="4" t="str">
        <f t="shared" si="27"/>
        <v>0.00</v>
      </c>
      <c r="W12" s="4" t="str">
        <f t="shared" si="27"/>
        <v>0.00</v>
      </c>
      <c r="X12" s="4" t="str">
        <f t="shared" si="10"/>
        <v>0.00000</v>
      </c>
      <c r="Y12" s="4" t="str">
        <f t="shared" si="11"/>
        <v>0</v>
      </c>
      <c r="Z12" s="4" t="str">
        <f t="shared" si="12"/>
        <v>0</v>
      </c>
      <c r="AA12" s="4" t="str">
        <f t="shared" si="13"/>
        <v>人民币</v>
      </c>
      <c r="AB12" s="4" t="str">
        <f t="shared" si="14"/>
        <v>A368402599</v>
      </c>
    </row>
    <row r="13" spans="1:28">
      <c r="A13" s="4" t="str">
        <f>"20210118"</f>
        <v>20210118</v>
      </c>
      <c r="B13" s="4" t="str">
        <f>"20210118"</f>
        <v>20210118</v>
      </c>
      <c r="C13" s="4" t="str">
        <f t="shared" si="0"/>
        <v>0</v>
      </c>
      <c r="D13" s="4" t="str">
        <f t="shared" si="1"/>
        <v>00:00:00</v>
      </c>
      <c r="E13" s="4" t="str">
        <f t="shared" si="2"/>
        <v>港股通组合费</v>
      </c>
      <c r="F13" s="4" t="str">
        <f t="shared" si="3"/>
        <v/>
      </c>
      <c r="G13" s="4" t="str">
        <f t="shared" si="4"/>
        <v/>
      </c>
      <c r="H13" s="4" t="str">
        <f t="shared" si="5"/>
        <v>0.00</v>
      </c>
      <c r="I13" s="4" t="str">
        <f t="shared" si="6"/>
        <v>0</v>
      </c>
      <c r="J13" s="4" t="str">
        <f>"0.15"</f>
        <v>0.15</v>
      </c>
      <c r="K13" s="4" t="str">
        <f>"-0.15"</f>
        <v>-0.15</v>
      </c>
      <c r="L13" s="4" t="str">
        <f t="shared" ref="L13:W13" si="28">"0.00"</f>
        <v>0.00</v>
      </c>
      <c r="M13" s="4" t="str">
        <f t="shared" si="8"/>
        <v>0.000</v>
      </c>
      <c r="N13" s="4" t="str">
        <f>"24.28"</f>
        <v>24.28</v>
      </c>
      <c r="O13" s="4" t="str">
        <f t="shared" si="9"/>
        <v>0</v>
      </c>
      <c r="P13" s="4" t="str">
        <f t="shared" si="28"/>
        <v>0.00</v>
      </c>
      <c r="Q13" s="4" t="str">
        <f t="shared" si="28"/>
        <v>0.00</v>
      </c>
      <c r="R13" s="4" t="str">
        <f t="shared" si="28"/>
        <v>0.00</v>
      </c>
      <c r="S13" s="4" t="str">
        <f t="shared" si="28"/>
        <v>0.00</v>
      </c>
      <c r="T13" s="4" t="str">
        <f t="shared" si="28"/>
        <v>0.00</v>
      </c>
      <c r="U13" s="4" t="str">
        <f t="shared" si="28"/>
        <v>0.00</v>
      </c>
      <c r="V13" s="4" t="str">
        <f t="shared" si="28"/>
        <v>0.00</v>
      </c>
      <c r="W13" s="4" t="str">
        <f t="shared" si="28"/>
        <v>0.00</v>
      </c>
      <c r="X13" s="4" t="str">
        <f t="shared" si="10"/>
        <v>0.00000</v>
      </c>
      <c r="Y13" s="4" t="str">
        <f t="shared" si="11"/>
        <v>0</v>
      </c>
      <c r="Z13" s="4" t="str">
        <f t="shared" si="12"/>
        <v>0</v>
      </c>
      <c r="AA13" s="4" t="str">
        <f t="shared" si="13"/>
        <v>人民币</v>
      </c>
      <c r="AB13" s="4" t="str">
        <f t="shared" si="14"/>
        <v>A368402599</v>
      </c>
    </row>
    <row r="14" spans="1:28">
      <c r="A14" s="4" t="str">
        <f>"20210119"</f>
        <v>20210119</v>
      </c>
      <c r="B14" s="4" t="str">
        <f>"20210119"</f>
        <v>20210119</v>
      </c>
      <c r="C14" s="4" t="str">
        <f t="shared" si="0"/>
        <v>0</v>
      </c>
      <c r="D14" s="4" t="str">
        <f t="shared" si="1"/>
        <v>00:00:00</v>
      </c>
      <c r="E14" s="4" t="str">
        <f t="shared" si="2"/>
        <v>港股通组合费</v>
      </c>
      <c r="F14" s="4" t="str">
        <f t="shared" si="3"/>
        <v/>
      </c>
      <c r="G14" s="4" t="str">
        <f t="shared" si="4"/>
        <v/>
      </c>
      <c r="H14" s="4" t="str">
        <f t="shared" si="5"/>
        <v>0.00</v>
      </c>
      <c r="I14" s="4" t="str">
        <f t="shared" si="6"/>
        <v>0</v>
      </c>
      <c r="J14" s="4" t="str">
        <f t="shared" ref="J14:J17" si="29">"0.05"</f>
        <v>0.05</v>
      </c>
      <c r="K14" s="4" t="str">
        <f t="shared" ref="K14:K17" si="30">"-0.05"</f>
        <v>-0.05</v>
      </c>
      <c r="L14" s="4" t="str">
        <f t="shared" ref="L14:W14" si="31">"0.00"</f>
        <v>0.00</v>
      </c>
      <c r="M14" s="4" t="str">
        <f t="shared" si="8"/>
        <v>0.000</v>
      </c>
      <c r="N14" s="4" t="str">
        <f>"24.23"</f>
        <v>24.23</v>
      </c>
      <c r="O14" s="4" t="str">
        <f t="shared" si="9"/>
        <v>0</v>
      </c>
      <c r="P14" s="4" t="str">
        <f t="shared" si="31"/>
        <v>0.00</v>
      </c>
      <c r="Q14" s="4" t="str">
        <f t="shared" si="31"/>
        <v>0.00</v>
      </c>
      <c r="R14" s="4" t="str">
        <f t="shared" si="31"/>
        <v>0.00</v>
      </c>
      <c r="S14" s="4" t="str">
        <f t="shared" si="31"/>
        <v>0.00</v>
      </c>
      <c r="T14" s="4" t="str">
        <f t="shared" si="31"/>
        <v>0.00</v>
      </c>
      <c r="U14" s="4" t="str">
        <f t="shared" si="31"/>
        <v>0.00</v>
      </c>
      <c r="V14" s="4" t="str">
        <f t="shared" si="31"/>
        <v>0.00</v>
      </c>
      <c r="W14" s="4" t="str">
        <f t="shared" si="31"/>
        <v>0.00</v>
      </c>
      <c r="X14" s="4" t="str">
        <f t="shared" si="10"/>
        <v>0.00000</v>
      </c>
      <c r="Y14" s="4" t="str">
        <f t="shared" si="11"/>
        <v>0</v>
      </c>
      <c r="Z14" s="4" t="str">
        <f t="shared" si="12"/>
        <v>0</v>
      </c>
      <c r="AA14" s="4" t="str">
        <f t="shared" si="13"/>
        <v>人民币</v>
      </c>
      <c r="AB14" s="4" t="str">
        <f t="shared" si="14"/>
        <v>A368402599</v>
      </c>
    </row>
    <row r="15" spans="1:28">
      <c r="A15" s="4" t="str">
        <f>"20210120"</f>
        <v>20210120</v>
      </c>
      <c r="B15" s="4" t="str">
        <f>"20210120"</f>
        <v>20210120</v>
      </c>
      <c r="C15" s="4" t="str">
        <f t="shared" si="0"/>
        <v>0</v>
      </c>
      <c r="D15" s="4" t="str">
        <f t="shared" si="1"/>
        <v>00:00:00</v>
      </c>
      <c r="E15" s="4" t="str">
        <f t="shared" si="2"/>
        <v>港股通组合费</v>
      </c>
      <c r="F15" s="4" t="str">
        <f t="shared" si="3"/>
        <v/>
      </c>
      <c r="G15" s="4" t="str">
        <f t="shared" si="4"/>
        <v/>
      </c>
      <c r="H15" s="4" t="str">
        <f t="shared" si="5"/>
        <v>0.00</v>
      </c>
      <c r="I15" s="4" t="str">
        <f t="shared" si="6"/>
        <v>0</v>
      </c>
      <c r="J15" s="4" t="str">
        <f t="shared" si="29"/>
        <v>0.05</v>
      </c>
      <c r="K15" s="4" t="str">
        <f t="shared" si="30"/>
        <v>-0.05</v>
      </c>
      <c r="L15" s="4" t="str">
        <f t="shared" ref="L15:W15" si="32">"0.00"</f>
        <v>0.00</v>
      </c>
      <c r="M15" s="4" t="str">
        <f t="shared" si="8"/>
        <v>0.000</v>
      </c>
      <c r="N15" s="4" t="str">
        <f>"24.18"</f>
        <v>24.18</v>
      </c>
      <c r="O15" s="4" t="str">
        <f t="shared" si="9"/>
        <v>0</v>
      </c>
      <c r="P15" s="4" t="str">
        <f t="shared" si="32"/>
        <v>0.00</v>
      </c>
      <c r="Q15" s="4" t="str">
        <f t="shared" si="32"/>
        <v>0.00</v>
      </c>
      <c r="R15" s="4" t="str">
        <f t="shared" si="32"/>
        <v>0.00</v>
      </c>
      <c r="S15" s="4" t="str">
        <f t="shared" si="32"/>
        <v>0.00</v>
      </c>
      <c r="T15" s="4" t="str">
        <f t="shared" si="32"/>
        <v>0.00</v>
      </c>
      <c r="U15" s="4" t="str">
        <f t="shared" si="32"/>
        <v>0.00</v>
      </c>
      <c r="V15" s="4" t="str">
        <f t="shared" si="32"/>
        <v>0.00</v>
      </c>
      <c r="W15" s="4" t="str">
        <f t="shared" si="32"/>
        <v>0.00</v>
      </c>
      <c r="X15" s="4" t="str">
        <f t="shared" si="10"/>
        <v>0.00000</v>
      </c>
      <c r="Y15" s="4" t="str">
        <f t="shared" si="11"/>
        <v>0</v>
      </c>
      <c r="Z15" s="4" t="str">
        <f t="shared" si="12"/>
        <v>0</v>
      </c>
      <c r="AA15" s="4" t="str">
        <f t="shared" si="13"/>
        <v>人民币</v>
      </c>
      <c r="AB15" s="4" t="str">
        <f t="shared" si="14"/>
        <v>A368402599</v>
      </c>
    </row>
    <row r="16" spans="1:28">
      <c r="A16" s="4" t="str">
        <f>"20210121"</f>
        <v>20210121</v>
      </c>
      <c r="B16" s="4" t="str">
        <f>"20210121"</f>
        <v>20210121</v>
      </c>
      <c r="C16" s="4" t="str">
        <f t="shared" si="0"/>
        <v>0</v>
      </c>
      <c r="D16" s="4" t="str">
        <f t="shared" si="1"/>
        <v>00:00:00</v>
      </c>
      <c r="E16" s="4" t="str">
        <f t="shared" si="2"/>
        <v>港股通组合费</v>
      </c>
      <c r="F16" s="4" t="str">
        <f t="shared" si="3"/>
        <v/>
      </c>
      <c r="G16" s="4" t="str">
        <f t="shared" si="4"/>
        <v/>
      </c>
      <c r="H16" s="4" t="str">
        <f t="shared" si="5"/>
        <v>0.00</v>
      </c>
      <c r="I16" s="4" t="str">
        <f t="shared" si="6"/>
        <v>0</v>
      </c>
      <c r="J16" s="4" t="str">
        <f t="shared" si="29"/>
        <v>0.05</v>
      </c>
      <c r="K16" s="4" t="str">
        <f t="shared" si="30"/>
        <v>-0.05</v>
      </c>
      <c r="L16" s="4" t="str">
        <f t="shared" ref="L16:W16" si="33">"0.00"</f>
        <v>0.00</v>
      </c>
      <c r="M16" s="4" t="str">
        <f t="shared" si="8"/>
        <v>0.000</v>
      </c>
      <c r="N16" s="4" t="str">
        <f>"24.13"</f>
        <v>24.13</v>
      </c>
      <c r="O16" s="4" t="str">
        <f t="shared" si="9"/>
        <v>0</v>
      </c>
      <c r="P16" s="4" t="str">
        <f t="shared" si="33"/>
        <v>0.00</v>
      </c>
      <c r="Q16" s="4" t="str">
        <f t="shared" si="33"/>
        <v>0.00</v>
      </c>
      <c r="R16" s="4" t="str">
        <f t="shared" si="33"/>
        <v>0.00</v>
      </c>
      <c r="S16" s="4" t="str">
        <f t="shared" si="33"/>
        <v>0.00</v>
      </c>
      <c r="T16" s="4" t="str">
        <f t="shared" si="33"/>
        <v>0.00</v>
      </c>
      <c r="U16" s="4" t="str">
        <f t="shared" si="33"/>
        <v>0.00</v>
      </c>
      <c r="V16" s="4" t="str">
        <f t="shared" si="33"/>
        <v>0.00</v>
      </c>
      <c r="W16" s="4" t="str">
        <f t="shared" si="33"/>
        <v>0.00</v>
      </c>
      <c r="X16" s="4" t="str">
        <f t="shared" si="10"/>
        <v>0.00000</v>
      </c>
      <c r="Y16" s="4" t="str">
        <f t="shared" si="11"/>
        <v>0</v>
      </c>
      <c r="Z16" s="4" t="str">
        <f t="shared" si="12"/>
        <v>0</v>
      </c>
      <c r="AA16" s="4" t="str">
        <f t="shared" si="13"/>
        <v>人民币</v>
      </c>
      <c r="AB16" s="4" t="str">
        <f t="shared" si="14"/>
        <v>A368402599</v>
      </c>
    </row>
    <row r="17" spans="1:28">
      <c r="A17" s="4" t="str">
        <f>"20210122"</f>
        <v>20210122</v>
      </c>
      <c r="B17" s="4" t="str">
        <f>"20210122"</f>
        <v>20210122</v>
      </c>
      <c r="C17" s="4" t="str">
        <f t="shared" si="0"/>
        <v>0</v>
      </c>
      <c r="D17" s="4" t="str">
        <f t="shared" si="1"/>
        <v>00:00:00</v>
      </c>
      <c r="E17" s="4" t="str">
        <f t="shared" si="2"/>
        <v>港股通组合费</v>
      </c>
      <c r="F17" s="4" t="str">
        <f t="shared" si="3"/>
        <v/>
      </c>
      <c r="G17" s="4" t="str">
        <f t="shared" si="4"/>
        <v/>
      </c>
      <c r="H17" s="4" t="str">
        <f t="shared" si="5"/>
        <v>0.00</v>
      </c>
      <c r="I17" s="4" t="str">
        <f t="shared" si="6"/>
        <v>0</v>
      </c>
      <c r="J17" s="4" t="str">
        <f t="shared" si="29"/>
        <v>0.05</v>
      </c>
      <c r="K17" s="4" t="str">
        <f t="shared" si="30"/>
        <v>-0.05</v>
      </c>
      <c r="L17" s="4" t="str">
        <f t="shared" ref="L17:W17" si="34">"0.00"</f>
        <v>0.00</v>
      </c>
      <c r="M17" s="4" t="str">
        <f t="shared" si="8"/>
        <v>0.000</v>
      </c>
      <c r="N17" s="4" t="str">
        <f>"24.08"</f>
        <v>24.08</v>
      </c>
      <c r="O17" s="4" t="str">
        <f t="shared" si="9"/>
        <v>0</v>
      </c>
      <c r="P17" s="4" t="str">
        <f t="shared" si="34"/>
        <v>0.00</v>
      </c>
      <c r="Q17" s="4" t="str">
        <f t="shared" si="34"/>
        <v>0.00</v>
      </c>
      <c r="R17" s="4" t="str">
        <f t="shared" si="34"/>
        <v>0.00</v>
      </c>
      <c r="S17" s="4" t="str">
        <f t="shared" si="34"/>
        <v>0.00</v>
      </c>
      <c r="T17" s="4" t="str">
        <f t="shared" si="34"/>
        <v>0.00</v>
      </c>
      <c r="U17" s="4" t="str">
        <f t="shared" si="34"/>
        <v>0.00</v>
      </c>
      <c r="V17" s="4" t="str">
        <f t="shared" si="34"/>
        <v>0.00</v>
      </c>
      <c r="W17" s="4" t="str">
        <f t="shared" si="34"/>
        <v>0.00</v>
      </c>
      <c r="X17" s="4" t="str">
        <f t="shared" si="10"/>
        <v>0.00000</v>
      </c>
      <c r="Y17" s="4" t="str">
        <f t="shared" si="11"/>
        <v>0</v>
      </c>
      <c r="Z17" s="4" t="str">
        <f t="shared" si="12"/>
        <v>0</v>
      </c>
      <c r="AA17" s="4" t="str">
        <f t="shared" si="13"/>
        <v>人民币</v>
      </c>
      <c r="AB17" s="4" t="str">
        <f t="shared" si="14"/>
        <v>A368402599</v>
      </c>
    </row>
    <row r="18" spans="1:28">
      <c r="A18" s="4" t="str">
        <f>"20210125"</f>
        <v>20210125</v>
      </c>
      <c r="B18" s="4" t="str">
        <f>"20210125"</f>
        <v>20210125</v>
      </c>
      <c r="C18" s="4" t="str">
        <f t="shared" si="0"/>
        <v>0</v>
      </c>
      <c r="D18" s="4" t="str">
        <f t="shared" si="1"/>
        <v>00:00:00</v>
      </c>
      <c r="E18" s="4" t="str">
        <f t="shared" si="2"/>
        <v>港股通组合费</v>
      </c>
      <c r="F18" s="4" t="str">
        <f t="shared" si="3"/>
        <v/>
      </c>
      <c r="G18" s="4" t="str">
        <f t="shared" si="4"/>
        <v/>
      </c>
      <c r="H18" s="4" t="str">
        <f t="shared" si="5"/>
        <v>0.00</v>
      </c>
      <c r="I18" s="4" t="str">
        <f t="shared" si="6"/>
        <v>0</v>
      </c>
      <c r="J18" s="4" t="str">
        <f>"0.15"</f>
        <v>0.15</v>
      </c>
      <c r="K18" s="4" t="str">
        <f>"-0.15"</f>
        <v>-0.15</v>
      </c>
      <c r="L18" s="4" t="str">
        <f t="shared" ref="L18:W18" si="35">"0.00"</f>
        <v>0.00</v>
      </c>
      <c r="M18" s="4" t="str">
        <f t="shared" si="8"/>
        <v>0.000</v>
      </c>
      <c r="N18" s="4" t="str">
        <f>"23.93"</f>
        <v>23.93</v>
      </c>
      <c r="O18" s="4" t="str">
        <f t="shared" si="9"/>
        <v>0</v>
      </c>
      <c r="P18" s="4" t="str">
        <f t="shared" si="35"/>
        <v>0.00</v>
      </c>
      <c r="Q18" s="4" t="str">
        <f t="shared" si="35"/>
        <v>0.00</v>
      </c>
      <c r="R18" s="4" t="str">
        <f t="shared" si="35"/>
        <v>0.00</v>
      </c>
      <c r="S18" s="4" t="str">
        <f t="shared" si="35"/>
        <v>0.00</v>
      </c>
      <c r="T18" s="4" t="str">
        <f t="shared" si="35"/>
        <v>0.00</v>
      </c>
      <c r="U18" s="4" t="str">
        <f t="shared" si="35"/>
        <v>0.00</v>
      </c>
      <c r="V18" s="4" t="str">
        <f t="shared" si="35"/>
        <v>0.00</v>
      </c>
      <c r="W18" s="4" t="str">
        <f t="shared" si="35"/>
        <v>0.00</v>
      </c>
      <c r="X18" s="4" t="str">
        <f t="shared" si="10"/>
        <v>0.00000</v>
      </c>
      <c r="Y18" s="4" t="str">
        <f t="shared" si="11"/>
        <v>0</v>
      </c>
      <c r="Z18" s="4" t="str">
        <f t="shared" si="12"/>
        <v>0</v>
      </c>
      <c r="AA18" s="4" t="str">
        <f t="shared" si="13"/>
        <v>人民币</v>
      </c>
      <c r="AB18" s="4" t="str">
        <f t="shared" si="14"/>
        <v>A368402599</v>
      </c>
    </row>
    <row r="19" spans="1:28">
      <c r="A19" s="4" t="str">
        <f>"20210126"</f>
        <v>20210126</v>
      </c>
      <c r="B19" s="4" t="str">
        <f>"20210126"</f>
        <v>20210126</v>
      </c>
      <c r="C19" s="4" t="str">
        <f t="shared" si="0"/>
        <v>0</v>
      </c>
      <c r="D19" s="4" t="str">
        <f t="shared" si="1"/>
        <v>00:00:00</v>
      </c>
      <c r="E19" s="4" t="str">
        <f t="shared" si="2"/>
        <v>港股通组合费</v>
      </c>
      <c r="F19" s="4" t="str">
        <f t="shared" si="3"/>
        <v/>
      </c>
      <c r="G19" s="4" t="str">
        <f t="shared" si="4"/>
        <v/>
      </c>
      <c r="H19" s="4" t="str">
        <f t="shared" si="5"/>
        <v>0.00</v>
      </c>
      <c r="I19" s="4" t="str">
        <f t="shared" si="6"/>
        <v>0</v>
      </c>
      <c r="J19" s="4" t="str">
        <f t="shared" ref="J19:J22" si="36">"0.05"</f>
        <v>0.05</v>
      </c>
      <c r="K19" s="4" t="str">
        <f t="shared" ref="K19:K22" si="37">"-0.05"</f>
        <v>-0.05</v>
      </c>
      <c r="L19" s="4" t="str">
        <f t="shared" ref="L19:W19" si="38">"0.00"</f>
        <v>0.00</v>
      </c>
      <c r="M19" s="4" t="str">
        <f t="shared" si="8"/>
        <v>0.000</v>
      </c>
      <c r="N19" s="4" t="str">
        <f>"23.88"</f>
        <v>23.88</v>
      </c>
      <c r="O19" s="4" t="str">
        <f t="shared" si="9"/>
        <v>0</v>
      </c>
      <c r="P19" s="4" t="str">
        <f t="shared" si="38"/>
        <v>0.00</v>
      </c>
      <c r="Q19" s="4" t="str">
        <f t="shared" si="38"/>
        <v>0.00</v>
      </c>
      <c r="R19" s="4" t="str">
        <f t="shared" si="38"/>
        <v>0.00</v>
      </c>
      <c r="S19" s="4" t="str">
        <f t="shared" si="38"/>
        <v>0.00</v>
      </c>
      <c r="T19" s="4" t="str">
        <f t="shared" si="38"/>
        <v>0.00</v>
      </c>
      <c r="U19" s="4" t="str">
        <f t="shared" si="38"/>
        <v>0.00</v>
      </c>
      <c r="V19" s="4" t="str">
        <f t="shared" si="38"/>
        <v>0.00</v>
      </c>
      <c r="W19" s="4" t="str">
        <f t="shared" si="38"/>
        <v>0.00</v>
      </c>
      <c r="X19" s="4" t="str">
        <f t="shared" si="10"/>
        <v>0.00000</v>
      </c>
      <c r="Y19" s="4" t="str">
        <f t="shared" si="11"/>
        <v>0</v>
      </c>
      <c r="Z19" s="4" t="str">
        <f t="shared" si="12"/>
        <v>0</v>
      </c>
      <c r="AA19" s="4" t="str">
        <f t="shared" si="13"/>
        <v>人民币</v>
      </c>
      <c r="AB19" s="4" t="str">
        <f t="shared" si="14"/>
        <v>A368402599</v>
      </c>
    </row>
    <row r="20" spans="1:28">
      <c r="A20" s="4" t="str">
        <f>"20210127"</f>
        <v>20210127</v>
      </c>
      <c r="B20" s="4" t="str">
        <f>"20210127"</f>
        <v>20210127</v>
      </c>
      <c r="C20" s="4" t="str">
        <f t="shared" si="0"/>
        <v>0</v>
      </c>
      <c r="D20" s="4" t="str">
        <f t="shared" si="1"/>
        <v>00:00:00</v>
      </c>
      <c r="E20" s="4" t="str">
        <f t="shared" si="2"/>
        <v>港股通组合费</v>
      </c>
      <c r="F20" s="4" t="str">
        <f t="shared" si="3"/>
        <v/>
      </c>
      <c r="G20" s="4" t="str">
        <f t="shared" si="4"/>
        <v/>
      </c>
      <c r="H20" s="4" t="str">
        <f t="shared" si="5"/>
        <v>0.00</v>
      </c>
      <c r="I20" s="4" t="str">
        <f t="shared" si="6"/>
        <v>0</v>
      </c>
      <c r="J20" s="4" t="str">
        <f t="shared" si="36"/>
        <v>0.05</v>
      </c>
      <c r="K20" s="4" t="str">
        <f t="shared" si="37"/>
        <v>-0.05</v>
      </c>
      <c r="L20" s="4" t="str">
        <f t="shared" ref="L20:W20" si="39">"0.00"</f>
        <v>0.00</v>
      </c>
      <c r="M20" s="4" t="str">
        <f t="shared" si="8"/>
        <v>0.000</v>
      </c>
      <c r="N20" s="4" t="str">
        <f>"23.83"</f>
        <v>23.83</v>
      </c>
      <c r="O20" s="4" t="str">
        <f t="shared" si="9"/>
        <v>0</v>
      </c>
      <c r="P20" s="4" t="str">
        <f t="shared" si="39"/>
        <v>0.00</v>
      </c>
      <c r="Q20" s="4" t="str">
        <f t="shared" si="39"/>
        <v>0.00</v>
      </c>
      <c r="R20" s="4" t="str">
        <f t="shared" si="39"/>
        <v>0.00</v>
      </c>
      <c r="S20" s="4" t="str">
        <f t="shared" si="39"/>
        <v>0.00</v>
      </c>
      <c r="T20" s="4" t="str">
        <f t="shared" si="39"/>
        <v>0.00</v>
      </c>
      <c r="U20" s="4" t="str">
        <f t="shared" si="39"/>
        <v>0.00</v>
      </c>
      <c r="V20" s="4" t="str">
        <f t="shared" si="39"/>
        <v>0.00</v>
      </c>
      <c r="W20" s="4" t="str">
        <f t="shared" si="39"/>
        <v>0.00</v>
      </c>
      <c r="X20" s="4" t="str">
        <f t="shared" si="10"/>
        <v>0.00000</v>
      </c>
      <c r="Y20" s="4" t="str">
        <f t="shared" si="11"/>
        <v>0</v>
      </c>
      <c r="Z20" s="4" t="str">
        <f t="shared" si="12"/>
        <v>0</v>
      </c>
      <c r="AA20" s="4" t="str">
        <f t="shared" si="13"/>
        <v>人民币</v>
      </c>
      <c r="AB20" s="4" t="str">
        <f t="shared" si="14"/>
        <v>A368402599</v>
      </c>
    </row>
    <row r="21" spans="1:28">
      <c r="A21" s="4" t="str">
        <f>"20210128"</f>
        <v>20210128</v>
      </c>
      <c r="B21" s="4" t="str">
        <f>"20210128"</f>
        <v>20210128</v>
      </c>
      <c r="C21" s="4" t="str">
        <f t="shared" si="0"/>
        <v>0</v>
      </c>
      <c r="D21" s="4" t="str">
        <f t="shared" si="1"/>
        <v>00:00:00</v>
      </c>
      <c r="E21" s="4" t="str">
        <f t="shared" si="2"/>
        <v>港股通组合费</v>
      </c>
      <c r="F21" s="4" t="str">
        <f t="shared" si="3"/>
        <v/>
      </c>
      <c r="G21" s="4" t="str">
        <f t="shared" si="4"/>
        <v/>
      </c>
      <c r="H21" s="4" t="str">
        <f t="shared" si="5"/>
        <v>0.00</v>
      </c>
      <c r="I21" s="4" t="str">
        <f t="shared" si="6"/>
        <v>0</v>
      </c>
      <c r="J21" s="4" t="str">
        <f t="shared" si="36"/>
        <v>0.05</v>
      </c>
      <c r="K21" s="4" t="str">
        <f t="shared" si="37"/>
        <v>-0.05</v>
      </c>
      <c r="L21" s="4" t="str">
        <f t="shared" ref="L21:W21" si="40">"0.00"</f>
        <v>0.00</v>
      </c>
      <c r="M21" s="4" t="str">
        <f t="shared" si="8"/>
        <v>0.000</v>
      </c>
      <c r="N21" s="4" t="str">
        <f>"23.78"</f>
        <v>23.78</v>
      </c>
      <c r="O21" s="4" t="str">
        <f t="shared" si="9"/>
        <v>0</v>
      </c>
      <c r="P21" s="4" t="str">
        <f t="shared" si="40"/>
        <v>0.00</v>
      </c>
      <c r="Q21" s="4" t="str">
        <f t="shared" si="40"/>
        <v>0.00</v>
      </c>
      <c r="R21" s="4" t="str">
        <f t="shared" si="40"/>
        <v>0.00</v>
      </c>
      <c r="S21" s="4" t="str">
        <f t="shared" si="40"/>
        <v>0.00</v>
      </c>
      <c r="T21" s="4" t="str">
        <f t="shared" si="40"/>
        <v>0.00</v>
      </c>
      <c r="U21" s="4" t="str">
        <f t="shared" si="40"/>
        <v>0.00</v>
      </c>
      <c r="V21" s="4" t="str">
        <f t="shared" si="40"/>
        <v>0.00</v>
      </c>
      <c r="W21" s="4" t="str">
        <f t="shared" si="40"/>
        <v>0.00</v>
      </c>
      <c r="X21" s="4" t="str">
        <f t="shared" si="10"/>
        <v>0.00000</v>
      </c>
      <c r="Y21" s="4" t="str">
        <f t="shared" si="11"/>
        <v>0</v>
      </c>
      <c r="Z21" s="4" t="str">
        <f t="shared" si="12"/>
        <v>0</v>
      </c>
      <c r="AA21" s="4" t="str">
        <f t="shared" si="13"/>
        <v>人民币</v>
      </c>
      <c r="AB21" s="4" t="str">
        <f t="shared" si="14"/>
        <v>A368402599</v>
      </c>
    </row>
    <row r="22" spans="1:28">
      <c r="A22" s="4" t="str">
        <f>"20210129"</f>
        <v>20210129</v>
      </c>
      <c r="B22" s="4" t="str">
        <f>"20210129"</f>
        <v>20210129</v>
      </c>
      <c r="C22" s="4" t="str">
        <f t="shared" si="0"/>
        <v>0</v>
      </c>
      <c r="D22" s="4" t="str">
        <f t="shared" si="1"/>
        <v>00:00:00</v>
      </c>
      <c r="E22" s="4" t="str">
        <f t="shared" si="2"/>
        <v>港股通组合费</v>
      </c>
      <c r="F22" s="4" t="str">
        <f t="shared" si="3"/>
        <v/>
      </c>
      <c r="G22" s="4" t="str">
        <f t="shared" si="4"/>
        <v/>
      </c>
      <c r="H22" s="4" t="str">
        <f t="shared" si="5"/>
        <v>0.00</v>
      </c>
      <c r="I22" s="4" t="str">
        <f t="shared" si="6"/>
        <v>0</v>
      </c>
      <c r="J22" s="4" t="str">
        <f t="shared" si="36"/>
        <v>0.05</v>
      </c>
      <c r="K22" s="4" t="str">
        <f t="shared" si="37"/>
        <v>-0.05</v>
      </c>
      <c r="L22" s="4" t="str">
        <f t="shared" ref="L22:W22" si="41">"0.00"</f>
        <v>0.00</v>
      </c>
      <c r="M22" s="4" t="str">
        <f t="shared" si="8"/>
        <v>0.000</v>
      </c>
      <c r="N22" s="4" t="str">
        <f>"23.73"</f>
        <v>23.73</v>
      </c>
      <c r="O22" s="4" t="str">
        <f t="shared" si="9"/>
        <v>0</v>
      </c>
      <c r="P22" s="4" t="str">
        <f t="shared" si="41"/>
        <v>0.00</v>
      </c>
      <c r="Q22" s="4" t="str">
        <f t="shared" si="41"/>
        <v>0.00</v>
      </c>
      <c r="R22" s="4" t="str">
        <f t="shared" si="41"/>
        <v>0.00</v>
      </c>
      <c r="S22" s="4" t="str">
        <f t="shared" si="41"/>
        <v>0.00</v>
      </c>
      <c r="T22" s="4" t="str">
        <f t="shared" si="41"/>
        <v>0.00</v>
      </c>
      <c r="U22" s="4" t="str">
        <f t="shared" si="41"/>
        <v>0.00</v>
      </c>
      <c r="V22" s="4" t="str">
        <f t="shared" si="41"/>
        <v>0.00</v>
      </c>
      <c r="W22" s="4" t="str">
        <f t="shared" si="41"/>
        <v>0.00</v>
      </c>
      <c r="X22" s="4" t="str">
        <f t="shared" si="10"/>
        <v>0.00000</v>
      </c>
      <c r="Y22" s="4" t="str">
        <f t="shared" si="11"/>
        <v>0</v>
      </c>
      <c r="Z22" s="4" t="str">
        <f t="shared" si="12"/>
        <v>0</v>
      </c>
      <c r="AA22" s="4" t="str">
        <f t="shared" si="13"/>
        <v>人民币</v>
      </c>
      <c r="AB22" s="4" t="str">
        <f t="shared" si="14"/>
        <v>A368402599</v>
      </c>
    </row>
    <row r="23" spans="1:28">
      <c r="A23" s="4" t="str">
        <f>"20210201"</f>
        <v>20210201</v>
      </c>
      <c r="B23" s="4" t="str">
        <f>"20210201"</f>
        <v>20210201</v>
      </c>
      <c r="C23" s="4" t="str">
        <f t="shared" si="0"/>
        <v>0</v>
      </c>
      <c r="D23" s="4" t="str">
        <f t="shared" si="1"/>
        <v>00:00:00</v>
      </c>
      <c r="E23" s="4" t="str">
        <f t="shared" si="2"/>
        <v>港股通组合费</v>
      </c>
      <c r="F23" s="4" t="str">
        <f t="shared" si="3"/>
        <v/>
      </c>
      <c r="G23" s="4" t="str">
        <f t="shared" si="4"/>
        <v/>
      </c>
      <c r="H23" s="4" t="str">
        <f t="shared" si="5"/>
        <v>0.00</v>
      </c>
      <c r="I23" s="4" t="str">
        <f t="shared" si="6"/>
        <v>0</v>
      </c>
      <c r="J23" s="4" t="str">
        <f>"0.15"</f>
        <v>0.15</v>
      </c>
      <c r="K23" s="4" t="str">
        <f>"-0.15"</f>
        <v>-0.15</v>
      </c>
      <c r="L23" s="4" t="str">
        <f t="shared" ref="L23:W23" si="42">"0.00"</f>
        <v>0.00</v>
      </c>
      <c r="M23" s="4" t="str">
        <f t="shared" si="8"/>
        <v>0.000</v>
      </c>
      <c r="N23" s="4" t="str">
        <f>"23.58"</f>
        <v>23.58</v>
      </c>
      <c r="O23" s="4" t="str">
        <f t="shared" si="9"/>
        <v>0</v>
      </c>
      <c r="P23" s="4" t="str">
        <f t="shared" si="42"/>
        <v>0.00</v>
      </c>
      <c r="Q23" s="4" t="str">
        <f t="shared" si="42"/>
        <v>0.00</v>
      </c>
      <c r="R23" s="4" t="str">
        <f t="shared" si="42"/>
        <v>0.00</v>
      </c>
      <c r="S23" s="4" t="str">
        <f t="shared" si="42"/>
        <v>0.00</v>
      </c>
      <c r="T23" s="4" t="str">
        <f t="shared" si="42"/>
        <v>0.00</v>
      </c>
      <c r="U23" s="4" t="str">
        <f t="shared" si="42"/>
        <v>0.00</v>
      </c>
      <c r="V23" s="4" t="str">
        <f t="shared" si="42"/>
        <v>0.00</v>
      </c>
      <c r="W23" s="4" t="str">
        <f t="shared" si="42"/>
        <v>0.00</v>
      </c>
      <c r="X23" s="4" t="str">
        <f t="shared" si="10"/>
        <v>0.00000</v>
      </c>
      <c r="Y23" s="4" t="str">
        <f t="shared" si="11"/>
        <v>0</v>
      </c>
      <c r="Z23" s="4" t="str">
        <f t="shared" si="12"/>
        <v>0</v>
      </c>
      <c r="AA23" s="4" t="str">
        <f t="shared" si="13"/>
        <v>人民币</v>
      </c>
      <c r="AB23" s="4" t="str">
        <f t="shared" si="14"/>
        <v>A368402599</v>
      </c>
    </row>
    <row r="24" spans="1:28">
      <c r="A24" s="4" t="str">
        <f>"20210202"</f>
        <v>20210202</v>
      </c>
      <c r="B24" s="4" t="str">
        <f>"20210202"</f>
        <v>20210202</v>
      </c>
      <c r="C24" s="4" t="str">
        <f t="shared" si="0"/>
        <v>0</v>
      </c>
      <c r="D24" s="4" t="str">
        <f t="shared" si="1"/>
        <v>00:00:00</v>
      </c>
      <c r="E24" s="4" t="str">
        <f t="shared" si="2"/>
        <v>港股通组合费</v>
      </c>
      <c r="F24" s="4" t="str">
        <f t="shared" si="3"/>
        <v/>
      </c>
      <c r="G24" s="4" t="str">
        <f t="shared" si="4"/>
        <v/>
      </c>
      <c r="H24" s="4" t="str">
        <f t="shared" si="5"/>
        <v>0.00</v>
      </c>
      <c r="I24" s="4" t="str">
        <f t="shared" si="6"/>
        <v>0</v>
      </c>
      <c r="J24" s="4" t="str">
        <f t="shared" ref="J24:J27" si="43">"0.05"</f>
        <v>0.05</v>
      </c>
      <c r="K24" s="4" t="str">
        <f t="shared" ref="K24:K27" si="44">"-0.05"</f>
        <v>-0.05</v>
      </c>
      <c r="L24" s="4" t="str">
        <f t="shared" ref="L24:W24" si="45">"0.00"</f>
        <v>0.00</v>
      </c>
      <c r="M24" s="4" t="str">
        <f t="shared" si="8"/>
        <v>0.000</v>
      </c>
      <c r="N24" s="4" t="str">
        <f>"23.53"</f>
        <v>23.53</v>
      </c>
      <c r="O24" s="4" t="str">
        <f t="shared" si="9"/>
        <v>0</v>
      </c>
      <c r="P24" s="4" t="str">
        <f t="shared" si="45"/>
        <v>0.00</v>
      </c>
      <c r="Q24" s="4" t="str">
        <f t="shared" si="45"/>
        <v>0.00</v>
      </c>
      <c r="R24" s="4" t="str">
        <f t="shared" si="45"/>
        <v>0.00</v>
      </c>
      <c r="S24" s="4" t="str">
        <f t="shared" si="45"/>
        <v>0.00</v>
      </c>
      <c r="T24" s="4" t="str">
        <f t="shared" si="45"/>
        <v>0.00</v>
      </c>
      <c r="U24" s="4" t="str">
        <f t="shared" si="45"/>
        <v>0.00</v>
      </c>
      <c r="V24" s="4" t="str">
        <f t="shared" si="45"/>
        <v>0.00</v>
      </c>
      <c r="W24" s="4" t="str">
        <f t="shared" si="45"/>
        <v>0.00</v>
      </c>
      <c r="X24" s="4" t="str">
        <f t="shared" si="10"/>
        <v>0.00000</v>
      </c>
      <c r="Y24" s="4" t="str">
        <f t="shared" si="11"/>
        <v>0</v>
      </c>
      <c r="Z24" s="4" t="str">
        <f t="shared" si="12"/>
        <v>0</v>
      </c>
      <c r="AA24" s="4" t="str">
        <f t="shared" si="13"/>
        <v>人民币</v>
      </c>
      <c r="AB24" s="4" t="str">
        <f t="shared" si="14"/>
        <v>A368402599</v>
      </c>
    </row>
    <row r="25" spans="1:28">
      <c r="A25" s="4" t="str">
        <f>"20210203"</f>
        <v>20210203</v>
      </c>
      <c r="B25" s="4" t="str">
        <f>"20210203"</f>
        <v>20210203</v>
      </c>
      <c r="C25" s="4" t="str">
        <f t="shared" si="0"/>
        <v>0</v>
      </c>
      <c r="D25" s="4" t="str">
        <f t="shared" si="1"/>
        <v>00:00:00</v>
      </c>
      <c r="E25" s="4" t="str">
        <f t="shared" si="2"/>
        <v>港股通组合费</v>
      </c>
      <c r="F25" s="4" t="str">
        <f t="shared" si="3"/>
        <v/>
      </c>
      <c r="G25" s="4" t="str">
        <f t="shared" si="4"/>
        <v/>
      </c>
      <c r="H25" s="4" t="str">
        <f t="shared" si="5"/>
        <v>0.00</v>
      </c>
      <c r="I25" s="4" t="str">
        <f t="shared" si="6"/>
        <v>0</v>
      </c>
      <c r="J25" s="4" t="str">
        <f t="shared" si="43"/>
        <v>0.05</v>
      </c>
      <c r="K25" s="4" t="str">
        <f t="shared" si="44"/>
        <v>-0.05</v>
      </c>
      <c r="L25" s="4" t="str">
        <f t="shared" ref="L25:W25" si="46">"0.00"</f>
        <v>0.00</v>
      </c>
      <c r="M25" s="4" t="str">
        <f t="shared" si="8"/>
        <v>0.000</v>
      </c>
      <c r="N25" s="4" t="str">
        <f>"23.48"</f>
        <v>23.48</v>
      </c>
      <c r="O25" s="4" t="str">
        <f t="shared" si="9"/>
        <v>0</v>
      </c>
      <c r="P25" s="4" t="str">
        <f t="shared" si="46"/>
        <v>0.00</v>
      </c>
      <c r="Q25" s="4" t="str">
        <f t="shared" si="46"/>
        <v>0.00</v>
      </c>
      <c r="R25" s="4" t="str">
        <f t="shared" si="46"/>
        <v>0.00</v>
      </c>
      <c r="S25" s="4" t="str">
        <f t="shared" si="46"/>
        <v>0.00</v>
      </c>
      <c r="T25" s="4" t="str">
        <f t="shared" si="46"/>
        <v>0.00</v>
      </c>
      <c r="U25" s="4" t="str">
        <f t="shared" si="46"/>
        <v>0.00</v>
      </c>
      <c r="V25" s="4" t="str">
        <f t="shared" si="46"/>
        <v>0.00</v>
      </c>
      <c r="W25" s="4" t="str">
        <f t="shared" si="46"/>
        <v>0.00</v>
      </c>
      <c r="X25" s="4" t="str">
        <f t="shared" si="10"/>
        <v>0.00000</v>
      </c>
      <c r="Y25" s="4" t="str">
        <f t="shared" si="11"/>
        <v>0</v>
      </c>
      <c r="Z25" s="4" t="str">
        <f t="shared" si="12"/>
        <v>0</v>
      </c>
      <c r="AA25" s="4" t="str">
        <f t="shared" si="13"/>
        <v>人民币</v>
      </c>
      <c r="AB25" s="4" t="str">
        <f t="shared" si="14"/>
        <v>A368402599</v>
      </c>
    </row>
    <row r="26" spans="1:28">
      <c r="A26" s="4" t="str">
        <f>"20210204"</f>
        <v>20210204</v>
      </c>
      <c r="B26" s="4" t="str">
        <f>"20210204"</f>
        <v>20210204</v>
      </c>
      <c r="C26" s="4" t="str">
        <f t="shared" si="0"/>
        <v>0</v>
      </c>
      <c r="D26" s="4" t="str">
        <f t="shared" si="1"/>
        <v>00:00:00</v>
      </c>
      <c r="E26" s="4" t="str">
        <f t="shared" si="2"/>
        <v>港股通组合费</v>
      </c>
      <c r="F26" s="4" t="str">
        <f t="shared" si="3"/>
        <v/>
      </c>
      <c r="G26" s="4" t="str">
        <f t="shared" si="4"/>
        <v/>
      </c>
      <c r="H26" s="4" t="str">
        <f t="shared" si="5"/>
        <v>0.00</v>
      </c>
      <c r="I26" s="4" t="str">
        <f t="shared" si="6"/>
        <v>0</v>
      </c>
      <c r="J26" s="4" t="str">
        <f t="shared" si="43"/>
        <v>0.05</v>
      </c>
      <c r="K26" s="4" t="str">
        <f t="shared" si="44"/>
        <v>-0.05</v>
      </c>
      <c r="L26" s="4" t="str">
        <f t="shared" ref="L26:W26" si="47">"0.00"</f>
        <v>0.00</v>
      </c>
      <c r="M26" s="4" t="str">
        <f t="shared" si="8"/>
        <v>0.000</v>
      </c>
      <c r="N26" s="4" t="str">
        <f>"23.43"</f>
        <v>23.43</v>
      </c>
      <c r="O26" s="4" t="str">
        <f t="shared" si="9"/>
        <v>0</v>
      </c>
      <c r="P26" s="4" t="str">
        <f t="shared" si="47"/>
        <v>0.00</v>
      </c>
      <c r="Q26" s="4" t="str">
        <f t="shared" si="47"/>
        <v>0.00</v>
      </c>
      <c r="R26" s="4" t="str">
        <f t="shared" si="47"/>
        <v>0.00</v>
      </c>
      <c r="S26" s="4" t="str">
        <f t="shared" si="47"/>
        <v>0.00</v>
      </c>
      <c r="T26" s="4" t="str">
        <f t="shared" si="47"/>
        <v>0.00</v>
      </c>
      <c r="U26" s="4" t="str">
        <f t="shared" si="47"/>
        <v>0.00</v>
      </c>
      <c r="V26" s="4" t="str">
        <f t="shared" si="47"/>
        <v>0.00</v>
      </c>
      <c r="W26" s="4" t="str">
        <f t="shared" si="47"/>
        <v>0.00</v>
      </c>
      <c r="X26" s="4" t="str">
        <f t="shared" si="10"/>
        <v>0.00000</v>
      </c>
      <c r="Y26" s="4" t="str">
        <f t="shared" si="11"/>
        <v>0</v>
      </c>
      <c r="Z26" s="4" t="str">
        <f t="shared" si="12"/>
        <v>0</v>
      </c>
      <c r="AA26" s="4" t="str">
        <f t="shared" si="13"/>
        <v>人民币</v>
      </c>
      <c r="AB26" s="4" t="str">
        <f t="shared" si="14"/>
        <v>A368402599</v>
      </c>
    </row>
    <row r="27" spans="1:28">
      <c r="A27" s="4" t="str">
        <f>"20210205"</f>
        <v>20210205</v>
      </c>
      <c r="B27" s="4" t="str">
        <f>"20210205"</f>
        <v>20210205</v>
      </c>
      <c r="C27" s="4" t="str">
        <f t="shared" si="0"/>
        <v>0</v>
      </c>
      <c r="D27" s="4" t="str">
        <f t="shared" si="1"/>
        <v>00:00:00</v>
      </c>
      <c r="E27" s="4" t="str">
        <f t="shared" si="2"/>
        <v>港股通组合费</v>
      </c>
      <c r="F27" s="4" t="str">
        <f t="shared" si="3"/>
        <v/>
      </c>
      <c r="G27" s="4" t="str">
        <f t="shared" si="4"/>
        <v/>
      </c>
      <c r="H27" s="4" t="str">
        <f t="shared" si="5"/>
        <v>0.00</v>
      </c>
      <c r="I27" s="4" t="str">
        <f t="shared" si="6"/>
        <v>0</v>
      </c>
      <c r="J27" s="4" t="str">
        <f t="shared" si="43"/>
        <v>0.05</v>
      </c>
      <c r="K27" s="4" t="str">
        <f t="shared" si="44"/>
        <v>-0.05</v>
      </c>
      <c r="L27" s="4" t="str">
        <f t="shared" ref="L27:W27" si="48">"0.00"</f>
        <v>0.00</v>
      </c>
      <c r="M27" s="4" t="str">
        <f t="shared" si="8"/>
        <v>0.000</v>
      </c>
      <c r="N27" s="4" t="str">
        <f>"23.38"</f>
        <v>23.38</v>
      </c>
      <c r="O27" s="4" t="str">
        <f t="shared" si="9"/>
        <v>0</v>
      </c>
      <c r="P27" s="4" t="str">
        <f t="shared" si="48"/>
        <v>0.00</v>
      </c>
      <c r="Q27" s="4" t="str">
        <f t="shared" si="48"/>
        <v>0.00</v>
      </c>
      <c r="R27" s="4" t="str">
        <f t="shared" si="48"/>
        <v>0.00</v>
      </c>
      <c r="S27" s="4" t="str">
        <f t="shared" si="48"/>
        <v>0.00</v>
      </c>
      <c r="T27" s="4" t="str">
        <f t="shared" si="48"/>
        <v>0.00</v>
      </c>
      <c r="U27" s="4" t="str">
        <f t="shared" si="48"/>
        <v>0.00</v>
      </c>
      <c r="V27" s="4" t="str">
        <f t="shared" si="48"/>
        <v>0.00</v>
      </c>
      <c r="W27" s="4" t="str">
        <f t="shared" si="48"/>
        <v>0.00</v>
      </c>
      <c r="X27" s="4" t="str">
        <f t="shared" si="10"/>
        <v>0.00000</v>
      </c>
      <c r="Y27" s="4" t="str">
        <f t="shared" si="11"/>
        <v>0</v>
      </c>
      <c r="Z27" s="4" t="str">
        <f t="shared" si="12"/>
        <v>0</v>
      </c>
      <c r="AA27" s="4" t="str">
        <f t="shared" si="13"/>
        <v>人民币</v>
      </c>
      <c r="AB27" s="4" t="str">
        <f t="shared" si="14"/>
        <v>A368402599</v>
      </c>
    </row>
    <row r="28" spans="1:28">
      <c r="A28" s="4" t="str">
        <f>"20210208"</f>
        <v>20210208</v>
      </c>
      <c r="B28" s="4" t="str">
        <f>"20210208"</f>
        <v>20210208</v>
      </c>
      <c r="C28" s="4" t="str">
        <f t="shared" si="0"/>
        <v>0</v>
      </c>
      <c r="D28" s="4" t="str">
        <f t="shared" si="1"/>
        <v>00:00:00</v>
      </c>
      <c r="E28" s="4" t="str">
        <f t="shared" si="2"/>
        <v>港股通组合费</v>
      </c>
      <c r="F28" s="4" t="str">
        <f t="shared" si="3"/>
        <v/>
      </c>
      <c r="G28" s="4" t="str">
        <f t="shared" si="4"/>
        <v/>
      </c>
      <c r="H28" s="4" t="str">
        <f t="shared" si="5"/>
        <v>0.00</v>
      </c>
      <c r="I28" s="4" t="str">
        <f t="shared" si="6"/>
        <v>0</v>
      </c>
      <c r="J28" s="4" t="str">
        <f>"0.15"</f>
        <v>0.15</v>
      </c>
      <c r="K28" s="4" t="str">
        <f>"-0.15"</f>
        <v>-0.15</v>
      </c>
      <c r="L28" s="4" t="str">
        <f t="shared" ref="L28:W28" si="49">"0.00"</f>
        <v>0.00</v>
      </c>
      <c r="M28" s="4" t="str">
        <f t="shared" si="8"/>
        <v>0.000</v>
      </c>
      <c r="N28" s="4" t="str">
        <f>"23.23"</f>
        <v>23.23</v>
      </c>
      <c r="O28" s="4" t="str">
        <f t="shared" si="9"/>
        <v>0</v>
      </c>
      <c r="P28" s="4" t="str">
        <f t="shared" si="49"/>
        <v>0.00</v>
      </c>
      <c r="Q28" s="4" t="str">
        <f t="shared" si="49"/>
        <v>0.00</v>
      </c>
      <c r="R28" s="4" t="str">
        <f t="shared" si="49"/>
        <v>0.00</v>
      </c>
      <c r="S28" s="4" t="str">
        <f t="shared" si="49"/>
        <v>0.00</v>
      </c>
      <c r="T28" s="4" t="str">
        <f t="shared" si="49"/>
        <v>0.00</v>
      </c>
      <c r="U28" s="4" t="str">
        <f t="shared" si="49"/>
        <v>0.00</v>
      </c>
      <c r="V28" s="4" t="str">
        <f t="shared" si="49"/>
        <v>0.00</v>
      </c>
      <c r="W28" s="4" t="str">
        <f t="shared" si="49"/>
        <v>0.00</v>
      </c>
      <c r="X28" s="4" t="str">
        <f t="shared" si="10"/>
        <v>0.00000</v>
      </c>
      <c r="Y28" s="4" t="str">
        <f t="shared" si="11"/>
        <v>0</v>
      </c>
      <c r="Z28" s="4" t="str">
        <f t="shared" si="12"/>
        <v>0</v>
      </c>
      <c r="AA28" s="4" t="str">
        <f t="shared" si="13"/>
        <v>人民币</v>
      </c>
      <c r="AB28" s="4" t="str">
        <f t="shared" si="14"/>
        <v>A368402599</v>
      </c>
    </row>
    <row r="29" spans="1:28">
      <c r="A29" s="4" t="str">
        <f>"20210209"</f>
        <v>20210209</v>
      </c>
      <c r="B29" s="4" t="str">
        <f>"20210209"</f>
        <v>20210209</v>
      </c>
      <c r="C29" s="4" t="str">
        <f t="shared" si="0"/>
        <v>0</v>
      </c>
      <c r="D29" s="4" t="str">
        <f t="shared" si="1"/>
        <v>00:00:00</v>
      </c>
      <c r="E29" s="4" t="str">
        <f t="shared" si="2"/>
        <v>港股通组合费</v>
      </c>
      <c r="F29" s="4" t="str">
        <f t="shared" si="3"/>
        <v/>
      </c>
      <c r="G29" s="4" t="str">
        <f t="shared" si="4"/>
        <v/>
      </c>
      <c r="H29" s="4" t="str">
        <f t="shared" si="5"/>
        <v>0.00</v>
      </c>
      <c r="I29" s="4" t="str">
        <f t="shared" si="6"/>
        <v>0</v>
      </c>
      <c r="J29" s="4" t="str">
        <f t="shared" ref="J29:J32" si="50">"0.05"</f>
        <v>0.05</v>
      </c>
      <c r="K29" s="4" t="str">
        <f t="shared" ref="K29:K32" si="51">"-0.05"</f>
        <v>-0.05</v>
      </c>
      <c r="L29" s="4" t="str">
        <f t="shared" ref="L29:W29" si="52">"0.00"</f>
        <v>0.00</v>
      </c>
      <c r="M29" s="4" t="str">
        <f t="shared" si="8"/>
        <v>0.000</v>
      </c>
      <c r="N29" s="4" t="str">
        <f>"23.18"</f>
        <v>23.18</v>
      </c>
      <c r="O29" s="4" t="str">
        <f t="shared" si="9"/>
        <v>0</v>
      </c>
      <c r="P29" s="4" t="str">
        <f t="shared" si="52"/>
        <v>0.00</v>
      </c>
      <c r="Q29" s="4" t="str">
        <f t="shared" si="52"/>
        <v>0.00</v>
      </c>
      <c r="R29" s="4" t="str">
        <f t="shared" si="52"/>
        <v>0.00</v>
      </c>
      <c r="S29" s="4" t="str">
        <f t="shared" si="52"/>
        <v>0.00</v>
      </c>
      <c r="T29" s="4" t="str">
        <f t="shared" si="52"/>
        <v>0.00</v>
      </c>
      <c r="U29" s="4" t="str">
        <f t="shared" si="52"/>
        <v>0.00</v>
      </c>
      <c r="V29" s="4" t="str">
        <f t="shared" si="52"/>
        <v>0.00</v>
      </c>
      <c r="W29" s="4" t="str">
        <f t="shared" si="52"/>
        <v>0.00</v>
      </c>
      <c r="X29" s="4" t="str">
        <f t="shared" si="10"/>
        <v>0.00000</v>
      </c>
      <c r="Y29" s="4" t="str">
        <f t="shared" si="11"/>
        <v>0</v>
      </c>
      <c r="Z29" s="4" t="str">
        <f t="shared" si="12"/>
        <v>0</v>
      </c>
      <c r="AA29" s="4" t="str">
        <f t="shared" si="13"/>
        <v>人民币</v>
      </c>
      <c r="AB29" s="4" t="str">
        <f t="shared" si="14"/>
        <v>A368402599</v>
      </c>
    </row>
    <row r="30" spans="1:28">
      <c r="A30" s="4" t="str">
        <f>"20210210"</f>
        <v>20210210</v>
      </c>
      <c r="B30" s="4" t="str">
        <f>"20210210"</f>
        <v>20210210</v>
      </c>
      <c r="C30" s="4" t="str">
        <f t="shared" si="0"/>
        <v>0</v>
      </c>
      <c r="D30" s="4" t="str">
        <f t="shared" si="1"/>
        <v>00:00:00</v>
      </c>
      <c r="E30" s="4" t="str">
        <f t="shared" si="2"/>
        <v>港股通组合费</v>
      </c>
      <c r="F30" s="4" t="str">
        <f t="shared" si="3"/>
        <v/>
      </c>
      <c r="G30" s="4" t="str">
        <f t="shared" si="4"/>
        <v/>
      </c>
      <c r="H30" s="4" t="str">
        <f t="shared" si="5"/>
        <v>0.00</v>
      </c>
      <c r="I30" s="4" t="str">
        <f t="shared" si="6"/>
        <v>0</v>
      </c>
      <c r="J30" s="4" t="str">
        <f t="shared" si="50"/>
        <v>0.05</v>
      </c>
      <c r="K30" s="4" t="str">
        <f t="shared" si="51"/>
        <v>-0.05</v>
      </c>
      <c r="L30" s="4" t="str">
        <f t="shared" ref="L30:W30" si="53">"0.00"</f>
        <v>0.00</v>
      </c>
      <c r="M30" s="4" t="str">
        <f t="shared" si="8"/>
        <v>0.000</v>
      </c>
      <c r="N30" s="4" t="str">
        <f>"23.13"</f>
        <v>23.13</v>
      </c>
      <c r="O30" s="4" t="str">
        <f t="shared" si="9"/>
        <v>0</v>
      </c>
      <c r="P30" s="4" t="str">
        <f t="shared" si="53"/>
        <v>0.00</v>
      </c>
      <c r="Q30" s="4" t="str">
        <f t="shared" si="53"/>
        <v>0.00</v>
      </c>
      <c r="R30" s="4" t="str">
        <f t="shared" si="53"/>
        <v>0.00</v>
      </c>
      <c r="S30" s="4" t="str">
        <f t="shared" si="53"/>
        <v>0.00</v>
      </c>
      <c r="T30" s="4" t="str">
        <f t="shared" si="53"/>
        <v>0.00</v>
      </c>
      <c r="U30" s="4" t="str">
        <f t="shared" si="53"/>
        <v>0.00</v>
      </c>
      <c r="V30" s="4" t="str">
        <f t="shared" si="53"/>
        <v>0.00</v>
      </c>
      <c r="W30" s="4" t="str">
        <f t="shared" si="53"/>
        <v>0.00</v>
      </c>
      <c r="X30" s="4" t="str">
        <f t="shared" si="10"/>
        <v>0.00000</v>
      </c>
      <c r="Y30" s="4" t="str">
        <f t="shared" si="11"/>
        <v>0</v>
      </c>
      <c r="Z30" s="4" t="str">
        <f t="shared" si="12"/>
        <v>0</v>
      </c>
      <c r="AA30" s="4" t="str">
        <f t="shared" si="13"/>
        <v>人民币</v>
      </c>
      <c r="AB30" s="4" t="str">
        <f t="shared" si="14"/>
        <v>A368402599</v>
      </c>
    </row>
    <row r="31" spans="1:28">
      <c r="A31" s="4" t="str">
        <f>"20210218"</f>
        <v>20210218</v>
      </c>
      <c r="B31" s="4" t="str">
        <f>"20210218"</f>
        <v>20210218</v>
      </c>
      <c r="C31" s="4" t="str">
        <f t="shared" si="0"/>
        <v>0</v>
      </c>
      <c r="D31" s="4" t="str">
        <f t="shared" si="1"/>
        <v>00:00:00</v>
      </c>
      <c r="E31" s="4" t="str">
        <f t="shared" si="2"/>
        <v>港股通组合费</v>
      </c>
      <c r="F31" s="4" t="str">
        <f t="shared" si="3"/>
        <v/>
      </c>
      <c r="G31" s="4" t="str">
        <f t="shared" si="4"/>
        <v/>
      </c>
      <c r="H31" s="4" t="str">
        <f t="shared" si="5"/>
        <v>0.00</v>
      </c>
      <c r="I31" s="4" t="str">
        <f t="shared" si="6"/>
        <v>0</v>
      </c>
      <c r="J31" s="4" t="str">
        <f>"0.40"</f>
        <v>0.40</v>
      </c>
      <c r="K31" s="4" t="str">
        <f>"-0.40"</f>
        <v>-0.40</v>
      </c>
      <c r="L31" s="4" t="str">
        <f t="shared" ref="L31:W31" si="54">"0.00"</f>
        <v>0.00</v>
      </c>
      <c r="M31" s="4" t="str">
        <f t="shared" si="8"/>
        <v>0.000</v>
      </c>
      <c r="N31" s="4" t="str">
        <f>"19216.62"</f>
        <v>19216.62</v>
      </c>
      <c r="O31" s="4" t="str">
        <f t="shared" si="9"/>
        <v>0</v>
      </c>
      <c r="P31" s="4" t="str">
        <f t="shared" si="54"/>
        <v>0.00</v>
      </c>
      <c r="Q31" s="4" t="str">
        <f t="shared" si="54"/>
        <v>0.00</v>
      </c>
      <c r="R31" s="4" t="str">
        <f t="shared" si="54"/>
        <v>0.00</v>
      </c>
      <c r="S31" s="4" t="str">
        <f t="shared" si="54"/>
        <v>0.00</v>
      </c>
      <c r="T31" s="4" t="str">
        <f t="shared" si="54"/>
        <v>0.00</v>
      </c>
      <c r="U31" s="4" t="str">
        <f t="shared" si="54"/>
        <v>0.00</v>
      </c>
      <c r="V31" s="4" t="str">
        <f t="shared" si="54"/>
        <v>0.00</v>
      </c>
      <c r="W31" s="4" t="str">
        <f t="shared" si="54"/>
        <v>0.00</v>
      </c>
      <c r="X31" s="4" t="str">
        <f t="shared" si="10"/>
        <v>0.00000</v>
      </c>
      <c r="Y31" s="4" t="str">
        <f t="shared" si="11"/>
        <v>0</v>
      </c>
      <c r="Z31" s="4" t="str">
        <f t="shared" si="12"/>
        <v>0</v>
      </c>
      <c r="AA31" s="4" t="str">
        <f t="shared" si="13"/>
        <v>人民币</v>
      </c>
      <c r="AB31" s="4" t="str">
        <f t="shared" si="14"/>
        <v>A368402599</v>
      </c>
    </row>
    <row r="32" spans="1:28">
      <c r="A32" s="4" t="str">
        <f>"20210219"</f>
        <v>20210219</v>
      </c>
      <c r="B32" s="4" t="str">
        <f>"20210219"</f>
        <v>20210219</v>
      </c>
      <c r="C32" s="4" t="str">
        <f t="shared" si="0"/>
        <v>0</v>
      </c>
      <c r="D32" s="4" t="str">
        <f t="shared" si="1"/>
        <v>00:00:00</v>
      </c>
      <c r="E32" s="4" t="str">
        <f t="shared" si="2"/>
        <v>港股通组合费</v>
      </c>
      <c r="F32" s="4" t="str">
        <f t="shared" si="3"/>
        <v/>
      </c>
      <c r="G32" s="4" t="str">
        <f t="shared" si="4"/>
        <v/>
      </c>
      <c r="H32" s="4" t="str">
        <f t="shared" si="5"/>
        <v>0.00</v>
      </c>
      <c r="I32" s="4" t="str">
        <f t="shared" si="6"/>
        <v>0</v>
      </c>
      <c r="J32" s="4" t="str">
        <f t="shared" si="50"/>
        <v>0.05</v>
      </c>
      <c r="K32" s="4" t="str">
        <f t="shared" si="51"/>
        <v>-0.05</v>
      </c>
      <c r="L32" s="4" t="str">
        <f t="shared" ref="L32:W32" si="55">"0.00"</f>
        <v>0.00</v>
      </c>
      <c r="M32" s="4" t="str">
        <f t="shared" si="8"/>
        <v>0.000</v>
      </c>
      <c r="N32" s="4" t="str">
        <f>"19216.57"</f>
        <v>19216.57</v>
      </c>
      <c r="O32" s="4" t="str">
        <f t="shared" si="9"/>
        <v>0</v>
      </c>
      <c r="P32" s="4" t="str">
        <f t="shared" si="55"/>
        <v>0.00</v>
      </c>
      <c r="Q32" s="4" t="str">
        <f t="shared" si="55"/>
        <v>0.00</v>
      </c>
      <c r="R32" s="4" t="str">
        <f t="shared" si="55"/>
        <v>0.00</v>
      </c>
      <c r="S32" s="4" t="str">
        <f t="shared" si="55"/>
        <v>0.00</v>
      </c>
      <c r="T32" s="4" t="str">
        <f t="shared" si="55"/>
        <v>0.00</v>
      </c>
      <c r="U32" s="4" t="str">
        <f t="shared" si="55"/>
        <v>0.00</v>
      </c>
      <c r="V32" s="4" t="str">
        <f t="shared" si="55"/>
        <v>0.00</v>
      </c>
      <c r="W32" s="4" t="str">
        <f t="shared" si="55"/>
        <v>0.00</v>
      </c>
      <c r="X32" s="4" t="str">
        <f t="shared" si="10"/>
        <v>0.00000</v>
      </c>
      <c r="Y32" s="4" t="str">
        <f t="shared" si="11"/>
        <v>0</v>
      </c>
      <c r="Z32" s="4" t="str">
        <f t="shared" si="12"/>
        <v>0</v>
      </c>
      <c r="AA32" s="4" t="str">
        <f t="shared" si="13"/>
        <v>人民币</v>
      </c>
      <c r="AB32" s="4" t="str">
        <f t="shared" si="14"/>
        <v>A368402599</v>
      </c>
    </row>
    <row r="33" spans="1:28">
      <c r="A33" s="4" t="str">
        <f>"20210222"</f>
        <v>20210222</v>
      </c>
      <c r="B33" s="4" t="str">
        <f>"20210218"</f>
        <v>20210218</v>
      </c>
      <c r="C33" s="4" t="str">
        <f>"20210218"</f>
        <v>20210218</v>
      </c>
      <c r="D33" s="4" t="str">
        <f>"14:56:15"</f>
        <v>14:56:15</v>
      </c>
      <c r="E33" s="4" t="str">
        <f>"港股通股票买入"</f>
        <v>港股通股票买入</v>
      </c>
      <c r="F33" s="4" t="str">
        <f>"01099"</f>
        <v>01099</v>
      </c>
      <c r="G33" s="4" t="str">
        <f>"国药控股"</f>
        <v>国药控股</v>
      </c>
      <c r="H33" s="4" t="str">
        <f>"15.52"</f>
        <v>15.52</v>
      </c>
      <c r="I33" s="4" t="str">
        <f>"1200"</f>
        <v>1200</v>
      </c>
      <c r="J33" s="4" t="str">
        <f>"18625.23"</f>
        <v>18625.23</v>
      </c>
      <c r="K33" s="4" t="str">
        <f>"-18657.17"</f>
        <v>-18657.17</v>
      </c>
      <c r="L33" s="4" t="str">
        <f>"1200.00"</f>
        <v>1200.00</v>
      </c>
      <c r="M33" s="4" t="str">
        <f>"18.680"</f>
        <v>18.680</v>
      </c>
      <c r="N33" s="4" t="str">
        <f>"559.40"</f>
        <v>559.40</v>
      </c>
      <c r="O33" s="4" t="str">
        <f>"2800"</f>
        <v>2800</v>
      </c>
      <c r="P33" s="4" t="str">
        <f>"19.11"</f>
        <v>19.11</v>
      </c>
      <c r="Q33" s="4" t="str">
        <f>"9.31"</f>
        <v>9.31</v>
      </c>
      <c r="R33" s="4" t="str">
        <f>"1.66"</f>
        <v>1.66</v>
      </c>
      <c r="S33" s="4" t="str">
        <f>"0.93"</f>
        <v>0.93</v>
      </c>
      <c r="T33" s="4" t="str">
        <f>"0.00"</f>
        <v>0.00</v>
      </c>
      <c r="U33" s="4" t="str">
        <f>"0.41"</f>
        <v>0.41</v>
      </c>
      <c r="V33" s="4" t="str">
        <f>"0.50"</f>
        <v>0.50</v>
      </c>
      <c r="W33" s="4" t="str">
        <f>"0.02"</f>
        <v>0.02</v>
      </c>
      <c r="X33" s="4" t="str">
        <f>"0.83089"</f>
        <v>0.83089</v>
      </c>
      <c r="Y33" s="4" t="str">
        <f>"1099000003378"</f>
        <v>1099000003378</v>
      </c>
      <c r="Z33" s="4" t="str">
        <f>"145615"</f>
        <v>145615</v>
      </c>
      <c r="AA33" s="4" t="str">
        <f t="shared" si="13"/>
        <v>人民币</v>
      </c>
      <c r="AB33" s="4" t="str">
        <f t="shared" si="14"/>
        <v>A368402599</v>
      </c>
    </row>
    <row r="34" spans="1:28">
      <c r="A34" s="4" t="str">
        <f>"20210222"</f>
        <v>20210222</v>
      </c>
      <c r="B34" s="4" t="str">
        <f>"20210222"</f>
        <v>20210222</v>
      </c>
      <c r="C34" s="4" t="str">
        <f t="shared" ref="C34:C61" si="56">"0"</f>
        <v>0</v>
      </c>
      <c r="D34" s="4" t="str">
        <f t="shared" ref="D34:D61" si="57">"00:00:00"</f>
        <v>00:00:00</v>
      </c>
      <c r="E34" s="4" t="str">
        <f t="shared" ref="E34:E61" si="58">"港股通组合费"</f>
        <v>港股通组合费</v>
      </c>
      <c r="F34" s="4" t="str">
        <f t="shared" ref="F34:F61" si="59">""</f>
        <v/>
      </c>
      <c r="G34" s="4" t="str">
        <f t="shared" ref="G34:G61" si="60">""</f>
        <v/>
      </c>
      <c r="H34" s="4" t="str">
        <f t="shared" ref="H34:H61" si="61">"0.00"</f>
        <v>0.00</v>
      </c>
      <c r="I34" s="4" t="str">
        <f t="shared" ref="I34:I61" si="62">"0"</f>
        <v>0</v>
      </c>
      <c r="J34" s="4" t="str">
        <f>"0.15"</f>
        <v>0.15</v>
      </c>
      <c r="K34" s="4" t="str">
        <f>"-0.15"</f>
        <v>-0.15</v>
      </c>
      <c r="L34" s="4" t="str">
        <f t="shared" ref="L34:W34" si="63">"0.00"</f>
        <v>0.00</v>
      </c>
      <c r="M34" s="4" t="str">
        <f t="shared" ref="M34:M61" si="64">"0.000"</f>
        <v>0.000</v>
      </c>
      <c r="N34" s="4" t="str">
        <f>"559.25"</f>
        <v>559.25</v>
      </c>
      <c r="O34" s="4" t="str">
        <f t="shared" ref="O34:O61" si="65">"0"</f>
        <v>0</v>
      </c>
      <c r="P34" s="4" t="str">
        <f t="shared" si="63"/>
        <v>0.00</v>
      </c>
      <c r="Q34" s="4" t="str">
        <f t="shared" si="63"/>
        <v>0.00</v>
      </c>
      <c r="R34" s="4" t="str">
        <f t="shared" si="63"/>
        <v>0.00</v>
      </c>
      <c r="S34" s="4" t="str">
        <f t="shared" si="63"/>
        <v>0.00</v>
      </c>
      <c r="T34" s="4" t="str">
        <f t="shared" si="63"/>
        <v>0.00</v>
      </c>
      <c r="U34" s="4" t="str">
        <f t="shared" si="63"/>
        <v>0.00</v>
      </c>
      <c r="V34" s="4" t="str">
        <f t="shared" si="63"/>
        <v>0.00</v>
      </c>
      <c r="W34" s="4" t="str">
        <f t="shared" si="63"/>
        <v>0.00</v>
      </c>
      <c r="X34" s="4" t="str">
        <f t="shared" ref="X34:X61" si="66">"0.00000"</f>
        <v>0.00000</v>
      </c>
      <c r="Y34" s="4" t="str">
        <f t="shared" ref="Y34:Y61" si="67">"0"</f>
        <v>0</v>
      </c>
      <c r="Z34" s="4" t="str">
        <f t="shared" ref="Z34:Z61" si="68">"0"</f>
        <v>0</v>
      </c>
      <c r="AA34" s="4" t="str">
        <f t="shared" si="13"/>
        <v>人民币</v>
      </c>
      <c r="AB34" s="4" t="str">
        <f t="shared" si="14"/>
        <v>A368402599</v>
      </c>
    </row>
    <row r="35" spans="1:28">
      <c r="A35" s="4" t="str">
        <f>"20210223"</f>
        <v>20210223</v>
      </c>
      <c r="B35" s="4" t="str">
        <f>"20210223"</f>
        <v>20210223</v>
      </c>
      <c r="C35" s="4" t="str">
        <f t="shared" si="56"/>
        <v>0</v>
      </c>
      <c r="D35" s="4" t="str">
        <f t="shared" si="57"/>
        <v>00:00:00</v>
      </c>
      <c r="E35" s="4" t="str">
        <f t="shared" si="58"/>
        <v>港股通组合费</v>
      </c>
      <c r="F35" s="4" t="str">
        <f t="shared" si="59"/>
        <v/>
      </c>
      <c r="G35" s="4" t="str">
        <f t="shared" si="60"/>
        <v/>
      </c>
      <c r="H35" s="4" t="str">
        <f t="shared" si="61"/>
        <v>0.00</v>
      </c>
      <c r="I35" s="4" t="str">
        <f t="shared" si="62"/>
        <v>0</v>
      </c>
      <c r="J35" s="4" t="str">
        <f t="shared" ref="J35:J38" si="69">"0.06"</f>
        <v>0.06</v>
      </c>
      <c r="K35" s="4" t="str">
        <f t="shared" ref="K35:K38" si="70">"-0.06"</f>
        <v>-0.06</v>
      </c>
      <c r="L35" s="4" t="str">
        <f t="shared" ref="L35:W35" si="71">"0.00"</f>
        <v>0.00</v>
      </c>
      <c r="M35" s="4" t="str">
        <f t="shared" si="64"/>
        <v>0.000</v>
      </c>
      <c r="N35" s="4" t="str">
        <f>"559.19"</f>
        <v>559.19</v>
      </c>
      <c r="O35" s="4" t="str">
        <f t="shared" si="65"/>
        <v>0</v>
      </c>
      <c r="P35" s="4" t="str">
        <f t="shared" si="71"/>
        <v>0.00</v>
      </c>
      <c r="Q35" s="4" t="str">
        <f t="shared" si="71"/>
        <v>0.00</v>
      </c>
      <c r="R35" s="4" t="str">
        <f t="shared" si="71"/>
        <v>0.00</v>
      </c>
      <c r="S35" s="4" t="str">
        <f t="shared" si="71"/>
        <v>0.00</v>
      </c>
      <c r="T35" s="4" t="str">
        <f t="shared" si="71"/>
        <v>0.00</v>
      </c>
      <c r="U35" s="4" t="str">
        <f t="shared" si="71"/>
        <v>0.00</v>
      </c>
      <c r="V35" s="4" t="str">
        <f t="shared" si="71"/>
        <v>0.00</v>
      </c>
      <c r="W35" s="4" t="str">
        <f t="shared" si="71"/>
        <v>0.00</v>
      </c>
      <c r="X35" s="4" t="str">
        <f t="shared" si="66"/>
        <v>0.00000</v>
      </c>
      <c r="Y35" s="4" t="str">
        <f t="shared" si="67"/>
        <v>0</v>
      </c>
      <c r="Z35" s="4" t="str">
        <f t="shared" si="68"/>
        <v>0</v>
      </c>
      <c r="AA35" s="4" t="str">
        <f t="shared" si="13"/>
        <v>人民币</v>
      </c>
      <c r="AB35" s="4" t="str">
        <f t="shared" si="14"/>
        <v>A368402599</v>
      </c>
    </row>
    <row r="36" spans="1:28">
      <c r="A36" s="4" t="str">
        <f>"20210224"</f>
        <v>20210224</v>
      </c>
      <c r="B36" s="4" t="str">
        <f>"20210224"</f>
        <v>20210224</v>
      </c>
      <c r="C36" s="4" t="str">
        <f t="shared" si="56"/>
        <v>0</v>
      </c>
      <c r="D36" s="4" t="str">
        <f t="shared" si="57"/>
        <v>00:00:00</v>
      </c>
      <c r="E36" s="4" t="str">
        <f t="shared" si="58"/>
        <v>港股通组合费</v>
      </c>
      <c r="F36" s="4" t="str">
        <f t="shared" si="59"/>
        <v/>
      </c>
      <c r="G36" s="4" t="str">
        <f t="shared" si="60"/>
        <v/>
      </c>
      <c r="H36" s="4" t="str">
        <f t="shared" si="61"/>
        <v>0.00</v>
      </c>
      <c r="I36" s="4" t="str">
        <f t="shared" si="62"/>
        <v>0</v>
      </c>
      <c r="J36" s="4" t="str">
        <f t="shared" si="69"/>
        <v>0.06</v>
      </c>
      <c r="K36" s="4" t="str">
        <f t="shared" si="70"/>
        <v>-0.06</v>
      </c>
      <c r="L36" s="4" t="str">
        <f t="shared" ref="L36:W36" si="72">"0.00"</f>
        <v>0.00</v>
      </c>
      <c r="M36" s="4" t="str">
        <f t="shared" si="64"/>
        <v>0.000</v>
      </c>
      <c r="N36" s="4" t="str">
        <f>"559.13"</f>
        <v>559.13</v>
      </c>
      <c r="O36" s="4" t="str">
        <f t="shared" si="65"/>
        <v>0</v>
      </c>
      <c r="P36" s="4" t="str">
        <f t="shared" si="72"/>
        <v>0.00</v>
      </c>
      <c r="Q36" s="4" t="str">
        <f t="shared" si="72"/>
        <v>0.00</v>
      </c>
      <c r="R36" s="4" t="str">
        <f t="shared" si="72"/>
        <v>0.00</v>
      </c>
      <c r="S36" s="4" t="str">
        <f t="shared" si="72"/>
        <v>0.00</v>
      </c>
      <c r="T36" s="4" t="str">
        <f t="shared" si="72"/>
        <v>0.00</v>
      </c>
      <c r="U36" s="4" t="str">
        <f t="shared" si="72"/>
        <v>0.00</v>
      </c>
      <c r="V36" s="4" t="str">
        <f t="shared" si="72"/>
        <v>0.00</v>
      </c>
      <c r="W36" s="4" t="str">
        <f t="shared" si="72"/>
        <v>0.00</v>
      </c>
      <c r="X36" s="4" t="str">
        <f t="shared" si="66"/>
        <v>0.00000</v>
      </c>
      <c r="Y36" s="4" t="str">
        <f t="shared" si="67"/>
        <v>0</v>
      </c>
      <c r="Z36" s="4" t="str">
        <f t="shared" si="68"/>
        <v>0</v>
      </c>
      <c r="AA36" s="4" t="str">
        <f t="shared" si="13"/>
        <v>人民币</v>
      </c>
      <c r="AB36" s="4" t="str">
        <f t="shared" si="14"/>
        <v>A368402599</v>
      </c>
    </row>
    <row r="37" spans="1:28">
      <c r="A37" s="4" t="str">
        <f>"20210225"</f>
        <v>20210225</v>
      </c>
      <c r="B37" s="4" t="str">
        <f>"20210225"</f>
        <v>20210225</v>
      </c>
      <c r="C37" s="4" t="str">
        <f t="shared" si="56"/>
        <v>0</v>
      </c>
      <c r="D37" s="4" t="str">
        <f t="shared" si="57"/>
        <v>00:00:00</v>
      </c>
      <c r="E37" s="4" t="str">
        <f t="shared" si="58"/>
        <v>港股通组合费</v>
      </c>
      <c r="F37" s="4" t="str">
        <f t="shared" si="59"/>
        <v/>
      </c>
      <c r="G37" s="4" t="str">
        <f t="shared" si="60"/>
        <v/>
      </c>
      <c r="H37" s="4" t="str">
        <f t="shared" si="61"/>
        <v>0.00</v>
      </c>
      <c r="I37" s="4" t="str">
        <f t="shared" si="62"/>
        <v>0</v>
      </c>
      <c r="J37" s="4" t="str">
        <f t="shared" si="69"/>
        <v>0.06</v>
      </c>
      <c r="K37" s="4" t="str">
        <f t="shared" si="70"/>
        <v>-0.06</v>
      </c>
      <c r="L37" s="4" t="str">
        <f t="shared" ref="L37:W37" si="73">"0.00"</f>
        <v>0.00</v>
      </c>
      <c r="M37" s="4" t="str">
        <f t="shared" si="64"/>
        <v>0.000</v>
      </c>
      <c r="N37" s="4" t="str">
        <f>"559.07"</f>
        <v>559.07</v>
      </c>
      <c r="O37" s="4" t="str">
        <f t="shared" si="65"/>
        <v>0</v>
      </c>
      <c r="P37" s="4" t="str">
        <f t="shared" si="73"/>
        <v>0.00</v>
      </c>
      <c r="Q37" s="4" t="str">
        <f t="shared" si="73"/>
        <v>0.00</v>
      </c>
      <c r="R37" s="4" t="str">
        <f t="shared" si="73"/>
        <v>0.00</v>
      </c>
      <c r="S37" s="4" t="str">
        <f t="shared" si="73"/>
        <v>0.00</v>
      </c>
      <c r="T37" s="4" t="str">
        <f t="shared" si="73"/>
        <v>0.00</v>
      </c>
      <c r="U37" s="4" t="str">
        <f t="shared" si="73"/>
        <v>0.00</v>
      </c>
      <c r="V37" s="4" t="str">
        <f t="shared" si="73"/>
        <v>0.00</v>
      </c>
      <c r="W37" s="4" t="str">
        <f t="shared" si="73"/>
        <v>0.00</v>
      </c>
      <c r="X37" s="4" t="str">
        <f t="shared" si="66"/>
        <v>0.00000</v>
      </c>
      <c r="Y37" s="4" t="str">
        <f t="shared" si="67"/>
        <v>0</v>
      </c>
      <c r="Z37" s="4" t="str">
        <f t="shared" si="68"/>
        <v>0</v>
      </c>
      <c r="AA37" s="4" t="str">
        <f t="shared" si="13"/>
        <v>人民币</v>
      </c>
      <c r="AB37" s="4" t="str">
        <f t="shared" si="14"/>
        <v>A368402599</v>
      </c>
    </row>
    <row r="38" spans="1:28">
      <c r="A38" s="4" t="str">
        <f>"20210226"</f>
        <v>20210226</v>
      </c>
      <c r="B38" s="4" t="str">
        <f>"20210226"</f>
        <v>20210226</v>
      </c>
      <c r="C38" s="4" t="str">
        <f t="shared" si="56"/>
        <v>0</v>
      </c>
      <c r="D38" s="4" t="str">
        <f t="shared" si="57"/>
        <v>00:00:00</v>
      </c>
      <c r="E38" s="4" t="str">
        <f t="shared" si="58"/>
        <v>港股通组合费</v>
      </c>
      <c r="F38" s="4" t="str">
        <f t="shared" si="59"/>
        <v/>
      </c>
      <c r="G38" s="4" t="str">
        <f t="shared" si="60"/>
        <v/>
      </c>
      <c r="H38" s="4" t="str">
        <f t="shared" si="61"/>
        <v>0.00</v>
      </c>
      <c r="I38" s="4" t="str">
        <f t="shared" si="62"/>
        <v>0</v>
      </c>
      <c r="J38" s="4" t="str">
        <f t="shared" si="69"/>
        <v>0.06</v>
      </c>
      <c r="K38" s="4" t="str">
        <f t="shared" si="70"/>
        <v>-0.06</v>
      </c>
      <c r="L38" s="4" t="str">
        <f t="shared" ref="L38:W38" si="74">"0.00"</f>
        <v>0.00</v>
      </c>
      <c r="M38" s="4" t="str">
        <f t="shared" si="64"/>
        <v>0.000</v>
      </c>
      <c r="N38" s="4" t="str">
        <f>"559.01"</f>
        <v>559.01</v>
      </c>
      <c r="O38" s="4" t="str">
        <f t="shared" si="65"/>
        <v>0</v>
      </c>
      <c r="P38" s="4" t="str">
        <f t="shared" si="74"/>
        <v>0.00</v>
      </c>
      <c r="Q38" s="4" t="str">
        <f t="shared" si="74"/>
        <v>0.00</v>
      </c>
      <c r="R38" s="4" t="str">
        <f t="shared" si="74"/>
        <v>0.00</v>
      </c>
      <c r="S38" s="4" t="str">
        <f t="shared" si="74"/>
        <v>0.00</v>
      </c>
      <c r="T38" s="4" t="str">
        <f t="shared" si="74"/>
        <v>0.00</v>
      </c>
      <c r="U38" s="4" t="str">
        <f t="shared" si="74"/>
        <v>0.00</v>
      </c>
      <c r="V38" s="4" t="str">
        <f t="shared" si="74"/>
        <v>0.00</v>
      </c>
      <c r="W38" s="4" t="str">
        <f t="shared" si="74"/>
        <v>0.00</v>
      </c>
      <c r="X38" s="4" t="str">
        <f t="shared" si="66"/>
        <v>0.00000</v>
      </c>
      <c r="Y38" s="4" t="str">
        <f t="shared" si="67"/>
        <v>0</v>
      </c>
      <c r="Z38" s="4" t="str">
        <f t="shared" si="68"/>
        <v>0</v>
      </c>
      <c r="AA38" s="4" t="str">
        <f t="shared" si="13"/>
        <v>人民币</v>
      </c>
      <c r="AB38" s="4" t="str">
        <f t="shared" si="14"/>
        <v>A368402599</v>
      </c>
    </row>
    <row r="39" spans="1:28">
      <c r="A39" s="4" t="str">
        <f>"20210301"</f>
        <v>20210301</v>
      </c>
      <c r="B39" s="4" t="str">
        <f>"20210301"</f>
        <v>20210301</v>
      </c>
      <c r="C39" s="4" t="str">
        <f t="shared" si="56"/>
        <v>0</v>
      </c>
      <c r="D39" s="4" t="str">
        <f t="shared" si="57"/>
        <v>00:00:00</v>
      </c>
      <c r="E39" s="4" t="str">
        <f t="shared" si="58"/>
        <v>港股通组合费</v>
      </c>
      <c r="F39" s="4" t="str">
        <f t="shared" si="59"/>
        <v/>
      </c>
      <c r="G39" s="4" t="str">
        <f t="shared" si="60"/>
        <v/>
      </c>
      <c r="H39" s="4" t="str">
        <f t="shared" si="61"/>
        <v>0.00</v>
      </c>
      <c r="I39" s="4" t="str">
        <f t="shared" si="62"/>
        <v>0</v>
      </c>
      <c r="J39" s="4" t="str">
        <f>"0.18"</f>
        <v>0.18</v>
      </c>
      <c r="K39" s="4" t="str">
        <f>"-0.18"</f>
        <v>-0.18</v>
      </c>
      <c r="L39" s="4" t="str">
        <f t="shared" ref="L39:W39" si="75">"0.00"</f>
        <v>0.00</v>
      </c>
      <c r="M39" s="4" t="str">
        <f t="shared" si="64"/>
        <v>0.000</v>
      </c>
      <c r="N39" s="4" t="str">
        <f>"558.83"</f>
        <v>558.83</v>
      </c>
      <c r="O39" s="4" t="str">
        <f t="shared" si="65"/>
        <v>0</v>
      </c>
      <c r="P39" s="4" t="str">
        <f t="shared" si="75"/>
        <v>0.00</v>
      </c>
      <c r="Q39" s="4" t="str">
        <f t="shared" si="75"/>
        <v>0.00</v>
      </c>
      <c r="R39" s="4" t="str">
        <f t="shared" si="75"/>
        <v>0.00</v>
      </c>
      <c r="S39" s="4" t="str">
        <f t="shared" si="75"/>
        <v>0.00</v>
      </c>
      <c r="T39" s="4" t="str">
        <f t="shared" si="75"/>
        <v>0.00</v>
      </c>
      <c r="U39" s="4" t="str">
        <f t="shared" si="75"/>
        <v>0.00</v>
      </c>
      <c r="V39" s="4" t="str">
        <f t="shared" si="75"/>
        <v>0.00</v>
      </c>
      <c r="W39" s="4" t="str">
        <f t="shared" si="75"/>
        <v>0.00</v>
      </c>
      <c r="X39" s="4" t="str">
        <f t="shared" si="66"/>
        <v>0.00000</v>
      </c>
      <c r="Y39" s="4" t="str">
        <f t="shared" si="67"/>
        <v>0</v>
      </c>
      <c r="Z39" s="4" t="str">
        <f t="shared" si="68"/>
        <v>0</v>
      </c>
      <c r="AA39" s="4" t="str">
        <f t="shared" si="13"/>
        <v>人民币</v>
      </c>
      <c r="AB39" s="4" t="str">
        <f t="shared" si="14"/>
        <v>A368402599</v>
      </c>
    </row>
    <row r="40" spans="1:28">
      <c r="A40" s="4" t="str">
        <f>"20210302"</f>
        <v>20210302</v>
      </c>
      <c r="B40" s="4" t="str">
        <f>"20210302"</f>
        <v>20210302</v>
      </c>
      <c r="C40" s="4" t="str">
        <f t="shared" si="56"/>
        <v>0</v>
      </c>
      <c r="D40" s="4" t="str">
        <f t="shared" si="57"/>
        <v>00:00:00</v>
      </c>
      <c r="E40" s="4" t="str">
        <f t="shared" si="58"/>
        <v>港股通组合费</v>
      </c>
      <c r="F40" s="4" t="str">
        <f t="shared" si="59"/>
        <v/>
      </c>
      <c r="G40" s="4" t="str">
        <f t="shared" si="60"/>
        <v/>
      </c>
      <c r="H40" s="4" t="str">
        <f t="shared" si="61"/>
        <v>0.00</v>
      </c>
      <c r="I40" s="4" t="str">
        <f t="shared" si="62"/>
        <v>0</v>
      </c>
      <c r="J40" s="4" t="str">
        <f t="shared" ref="J40:J43" si="76">"0.06"</f>
        <v>0.06</v>
      </c>
      <c r="K40" s="4" t="str">
        <f t="shared" ref="K40:K43" si="77">"-0.06"</f>
        <v>-0.06</v>
      </c>
      <c r="L40" s="4" t="str">
        <f t="shared" ref="L40:W40" si="78">"0.00"</f>
        <v>0.00</v>
      </c>
      <c r="M40" s="4" t="str">
        <f t="shared" si="64"/>
        <v>0.000</v>
      </c>
      <c r="N40" s="4" t="str">
        <f>"558.77"</f>
        <v>558.77</v>
      </c>
      <c r="O40" s="4" t="str">
        <f t="shared" si="65"/>
        <v>0</v>
      </c>
      <c r="P40" s="4" t="str">
        <f t="shared" si="78"/>
        <v>0.00</v>
      </c>
      <c r="Q40" s="4" t="str">
        <f t="shared" si="78"/>
        <v>0.00</v>
      </c>
      <c r="R40" s="4" t="str">
        <f t="shared" si="78"/>
        <v>0.00</v>
      </c>
      <c r="S40" s="4" t="str">
        <f t="shared" si="78"/>
        <v>0.00</v>
      </c>
      <c r="T40" s="4" t="str">
        <f t="shared" si="78"/>
        <v>0.00</v>
      </c>
      <c r="U40" s="4" t="str">
        <f t="shared" si="78"/>
        <v>0.00</v>
      </c>
      <c r="V40" s="4" t="str">
        <f t="shared" si="78"/>
        <v>0.00</v>
      </c>
      <c r="W40" s="4" t="str">
        <f t="shared" si="78"/>
        <v>0.00</v>
      </c>
      <c r="X40" s="4" t="str">
        <f t="shared" si="66"/>
        <v>0.00000</v>
      </c>
      <c r="Y40" s="4" t="str">
        <f t="shared" si="67"/>
        <v>0</v>
      </c>
      <c r="Z40" s="4" t="str">
        <f t="shared" si="68"/>
        <v>0</v>
      </c>
      <c r="AA40" s="4" t="str">
        <f t="shared" si="13"/>
        <v>人民币</v>
      </c>
      <c r="AB40" s="4" t="str">
        <f t="shared" si="14"/>
        <v>A368402599</v>
      </c>
    </row>
    <row r="41" spans="1:28">
      <c r="A41" s="4" t="str">
        <f>"20210303"</f>
        <v>20210303</v>
      </c>
      <c r="B41" s="4" t="str">
        <f>"20210303"</f>
        <v>20210303</v>
      </c>
      <c r="C41" s="4" t="str">
        <f t="shared" si="56"/>
        <v>0</v>
      </c>
      <c r="D41" s="4" t="str">
        <f t="shared" si="57"/>
        <v>00:00:00</v>
      </c>
      <c r="E41" s="4" t="str">
        <f t="shared" si="58"/>
        <v>港股通组合费</v>
      </c>
      <c r="F41" s="4" t="str">
        <f t="shared" si="59"/>
        <v/>
      </c>
      <c r="G41" s="4" t="str">
        <f t="shared" si="60"/>
        <v/>
      </c>
      <c r="H41" s="4" t="str">
        <f t="shared" si="61"/>
        <v>0.00</v>
      </c>
      <c r="I41" s="4" t="str">
        <f t="shared" si="62"/>
        <v>0</v>
      </c>
      <c r="J41" s="4" t="str">
        <f t="shared" si="76"/>
        <v>0.06</v>
      </c>
      <c r="K41" s="4" t="str">
        <f t="shared" si="77"/>
        <v>-0.06</v>
      </c>
      <c r="L41" s="4" t="str">
        <f t="shared" ref="L41:W41" si="79">"0.00"</f>
        <v>0.00</v>
      </c>
      <c r="M41" s="4" t="str">
        <f t="shared" si="64"/>
        <v>0.000</v>
      </c>
      <c r="N41" s="4" t="str">
        <f>"558.71"</f>
        <v>558.71</v>
      </c>
      <c r="O41" s="4" t="str">
        <f t="shared" si="65"/>
        <v>0</v>
      </c>
      <c r="P41" s="4" t="str">
        <f t="shared" si="79"/>
        <v>0.00</v>
      </c>
      <c r="Q41" s="4" t="str">
        <f t="shared" si="79"/>
        <v>0.00</v>
      </c>
      <c r="R41" s="4" t="str">
        <f t="shared" si="79"/>
        <v>0.00</v>
      </c>
      <c r="S41" s="4" t="str">
        <f t="shared" si="79"/>
        <v>0.00</v>
      </c>
      <c r="T41" s="4" t="str">
        <f t="shared" si="79"/>
        <v>0.00</v>
      </c>
      <c r="U41" s="4" t="str">
        <f t="shared" si="79"/>
        <v>0.00</v>
      </c>
      <c r="V41" s="4" t="str">
        <f t="shared" si="79"/>
        <v>0.00</v>
      </c>
      <c r="W41" s="4" t="str">
        <f t="shared" si="79"/>
        <v>0.00</v>
      </c>
      <c r="X41" s="4" t="str">
        <f t="shared" si="66"/>
        <v>0.00000</v>
      </c>
      <c r="Y41" s="4" t="str">
        <f t="shared" si="67"/>
        <v>0</v>
      </c>
      <c r="Z41" s="4" t="str">
        <f t="shared" si="68"/>
        <v>0</v>
      </c>
      <c r="AA41" s="4" t="str">
        <f t="shared" si="13"/>
        <v>人民币</v>
      </c>
      <c r="AB41" s="4" t="str">
        <f t="shared" si="14"/>
        <v>A368402599</v>
      </c>
    </row>
    <row r="42" spans="1:28">
      <c r="A42" s="4" t="str">
        <f>"20210304"</f>
        <v>20210304</v>
      </c>
      <c r="B42" s="4" t="str">
        <f>"20210304"</f>
        <v>20210304</v>
      </c>
      <c r="C42" s="4" t="str">
        <f t="shared" si="56"/>
        <v>0</v>
      </c>
      <c r="D42" s="4" t="str">
        <f t="shared" si="57"/>
        <v>00:00:00</v>
      </c>
      <c r="E42" s="4" t="str">
        <f t="shared" si="58"/>
        <v>港股通组合费</v>
      </c>
      <c r="F42" s="4" t="str">
        <f t="shared" si="59"/>
        <v/>
      </c>
      <c r="G42" s="4" t="str">
        <f t="shared" si="60"/>
        <v/>
      </c>
      <c r="H42" s="4" t="str">
        <f t="shared" si="61"/>
        <v>0.00</v>
      </c>
      <c r="I42" s="4" t="str">
        <f t="shared" si="62"/>
        <v>0</v>
      </c>
      <c r="J42" s="4" t="str">
        <f t="shared" si="76"/>
        <v>0.06</v>
      </c>
      <c r="K42" s="4" t="str">
        <f t="shared" si="77"/>
        <v>-0.06</v>
      </c>
      <c r="L42" s="4" t="str">
        <f t="shared" ref="L42:W42" si="80">"0.00"</f>
        <v>0.00</v>
      </c>
      <c r="M42" s="4" t="str">
        <f t="shared" si="64"/>
        <v>0.000</v>
      </c>
      <c r="N42" s="4" t="str">
        <f>"558.65"</f>
        <v>558.65</v>
      </c>
      <c r="O42" s="4" t="str">
        <f t="shared" si="65"/>
        <v>0</v>
      </c>
      <c r="P42" s="4" t="str">
        <f t="shared" si="80"/>
        <v>0.00</v>
      </c>
      <c r="Q42" s="4" t="str">
        <f t="shared" si="80"/>
        <v>0.00</v>
      </c>
      <c r="R42" s="4" t="str">
        <f t="shared" si="80"/>
        <v>0.00</v>
      </c>
      <c r="S42" s="4" t="str">
        <f t="shared" si="80"/>
        <v>0.00</v>
      </c>
      <c r="T42" s="4" t="str">
        <f t="shared" si="80"/>
        <v>0.00</v>
      </c>
      <c r="U42" s="4" t="str">
        <f t="shared" si="80"/>
        <v>0.00</v>
      </c>
      <c r="V42" s="4" t="str">
        <f t="shared" si="80"/>
        <v>0.00</v>
      </c>
      <c r="W42" s="4" t="str">
        <f t="shared" si="80"/>
        <v>0.00</v>
      </c>
      <c r="X42" s="4" t="str">
        <f t="shared" si="66"/>
        <v>0.00000</v>
      </c>
      <c r="Y42" s="4" t="str">
        <f t="shared" si="67"/>
        <v>0</v>
      </c>
      <c r="Z42" s="4" t="str">
        <f t="shared" si="68"/>
        <v>0</v>
      </c>
      <c r="AA42" s="4" t="str">
        <f t="shared" si="13"/>
        <v>人民币</v>
      </c>
      <c r="AB42" s="4" t="str">
        <f t="shared" si="14"/>
        <v>A368402599</v>
      </c>
    </row>
    <row r="43" spans="1:28">
      <c r="A43" s="4" t="str">
        <f>"20210305"</f>
        <v>20210305</v>
      </c>
      <c r="B43" s="4" t="str">
        <f>"20210305"</f>
        <v>20210305</v>
      </c>
      <c r="C43" s="4" t="str">
        <f t="shared" si="56"/>
        <v>0</v>
      </c>
      <c r="D43" s="4" t="str">
        <f t="shared" si="57"/>
        <v>00:00:00</v>
      </c>
      <c r="E43" s="4" t="str">
        <f t="shared" si="58"/>
        <v>港股通组合费</v>
      </c>
      <c r="F43" s="4" t="str">
        <f t="shared" si="59"/>
        <v/>
      </c>
      <c r="G43" s="4" t="str">
        <f t="shared" si="60"/>
        <v/>
      </c>
      <c r="H43" s="4" t="str">
        <f t="shared" si="61"/>
        <v>0.00</v>
      </c>
      <c r="I43" s="4" t="str">
        <f t="shared" si="62"/>
        <v>0</v>
      </c>
      <c r="J43" s="4" t="str">
        <f t="shared" si="76"/>
        <v>0.06</v>
      </c>
      <c r="K43" s="4" t="str">
        <f t="shared" si="77"/>
        <v>-0.06</v>
      </c>
      <c r="L43" s="4" t="str">
        <f t="shared" ref="L43:W43" si="81">"0.00"</f>
        <v>0.00</v>
      </c>
      <c r="M43" s="4" t="str">
        <f t="shared" si="64"/>
        <v>0.000</v>
      </c>
      <c r="N43" s="4" t="str">
        <f>"558.59"</f>
        <v>558.59</v>
      </c>
      <c r="O43" s="4" t="str">
        <f t="shared" si="65"/>
        <v>0</v>
      </c>
      <c r="P43" s="4" t="str">
        <f t="shared" si="81"/>
        <v>0.00</v>
      </c>
      <c r="Q43" s="4" t="str">
        <f t="shared" si="81"/>
        <v>0.00</v>
      </c>
      <c r="R43" s="4" t="str">
        <f t="shared" si="81"/>
        <v>0.00</v>
      </c>
      <c r="S43" s="4" t="str">
        <f t="shared" si="81"/>
        <v>0.00</v>
      </c>
      <c r="T43" s="4" t="str">
        <f t="shared" si="81"/>
        <v>0.00</v>
      </c>
      <c r="U43" s="4" t="str">
        <f t="shared" si="81"/>
        <v>0.00</v>
      </c>
      <c r="V43" s="4" t="str">
        <f t="shared" si="81"/>
        <v>0.00</v>
      </c>
      <c r="W43" s="4" t="str">
        <f t="shared" si="81"/>
        <v>0.00</v>
      </c>
      <c r="X43" s="4" t="str">
        <f t="shared" si="66"/>
        <v>0.00000</v>
      </c>
      <c r="Y43" s="4" t="str">
        <f t="shared" si="67"/>
        <v>0</v>
      </c>
      <c r="Z43" s="4" t="str">
        <f t="shared" si="68"/>
        <v>0</v>
      </c>
      <c r="AA43" s="4" t="str">
        <f t="shared" si="13"/>
        <v>人民币</v>
      </c>
      <c r="AB43" s="4" t="str">
        <f t="shared" si="14"/>
        <v>A368402599</v>
      </c>
    </row>
    <row r="44" spans="1:28">
      <c r="A44" s="4" t="str">
        <f>"20210308"</f>
        <v>20210308</v>
      </c>
      <c r="B44" s="4" t="str">
        <f>"20210308"</f>
        <v>20210308</v>
      </c>
      <c r="C44" s="4" t="str">
        <f t="shared" si="56"/>
        <v>0</v>
      </c>
      <c r="D44" s="4" t="str">
        <f t="shared" si="57"/>
        <v>00:00:00</v>
      </c>
      <c r="E44" s="4" t="str">
        <f t="shared" si="58"/>
        <v>港股通组合费</v>
      </c>
      <c r="F44" s="4" t="str">
        <f t="shared" si="59"/>
        <v/>
      </c>
      <c r="G44" s="4" t="str">
        <f t="shared" si="60"/>
        <v/>
      </c>
      <c r="H44" s="4" t="str">
        <f t="shared" si="61"/>
        <v>0.00</v>
      </c>
      <c r="I44" s="4" t="str">
        <f t="shared" si="62"/>
        <v>0</v>
      </c>
      <c r="J44" s="4" t="str">
        <f>"0.18"</f>
        <v>0.18</v>
      </c>
      <c r="K44" s="4" t="str">
        <f>"-0.18"</f>
        <v>-0.18</v>
      </c>
      <c r="L44" s="4" t="str">
        <f t="shared" ref="L44:W44" si="82">"0.00"</f>
        <v>0.00</v>
      </c>
      <c r="M44" s="4" t="str">
        <f t="shared" si="64"/>
        <v>0.000</v>
      </c>
      <c r="N44" s="4" t="str">
        <f>"558.41"</f>
        <v>558.41</v>
      </c>
      <c r="O44" s="4" t="str">
        <f t="shared" si="65"/>
        <v>0</v>
      </c>
      <c r="P44" s="4" t="str">
        <f t="shared" si="82"/>
        <v>0.00</v>
      </c>
      <c r="Q44" s="4" t="str">
        <f t="shared" si="82"/>
        <v>0.00</v>
      </c>
      <c r="R44" s="4" t="str">
        <f t="shared" si="82"/>
        <v>0.00</v>
      </c>
      <c r="S44" s="4" t="str">
        <f t="shared" si="82"/>
        <v>0.00</v>
      </c>
      <c r="T44" s="4" t="str">
        <f t="shared" si="82"/>
        <v>0.00</v>
      </c>
      <c r="U44" s="4" t="str">
        <f t="shared" si="82"/>
        <v>0.00</v>
      </c>
      <c r="V44" s="4" t="str">
        <f t="shared" si="82"/>
        <v>0.00</v>
      </c>
      <c r="W44" s="4" t="str">
        <f t="shared" si="82"/>
        <v>0.00</v>
      </c>
      <c r="X44" s="4" t="str">
        <f t="shared" si="66"/>
        <v>0.00000</v>
      </c>
      <c r="Y44" s="4" t="str">
        <f t="shared" si="67"/>
        <v>0</v>
      </c>
      <c r="Z44" s="4" t="str">
        <f t="shared" si="68"/>
        <v>0</v>
      </c>
      <c r="AA44" s="4" t="str">
        <f t="shared" si="13"/>
        <v>人民币</v>
      </c>
      <c r="AB44" s="4" t="str">
        <f t="shared" si="14"/>
        <v>A368402599</v>
      </c>
    </row>
    <row r="45" spans="1:28">
      <c r="A45" s="4" t="str">
        <f>"20210309"</f>
        <v>20210309</v>
      </c>
      <c r="B45" s="4" t="str">
        <f>"20210309"</f>
        <v>20210309</v>
      </c>
      <c r="C45" s="4" t="str">
        <f t="shared" si="56"/>
        <v>0</v>
      </c>
      <c r="D45" s="4" t="str">
        <f t="shared" si="57"/>
        <v>00:00:00</v>
      </c>
      <c r="E45" s="4" t="str">
        <f t="shared" si="58"/>
        <v>港股通组合费</v>
      </c>
      <c r="F45" s="4" t="str">
        <f t="shared" si="59"/>
        <v/>
      </c>
      <c r="G45" s="4" t="str">
        <f t="shared" si="60"/>
        <v/>
      </c>
      <c r="H45" s="4" t="str">
        <f t="shared" si="61"/>
        <v>0.00</v>
      </c>
      <c r="I45" s="4" t="str">
        <f t="shared" si="62"/>
        <v>0</v>
      </c>
      <c r="J45" s="4" t="str">
        <f t="shared" ref="J45:J48" si="83">"0.06"</f>
        <v>0.06</v>
      </c>
      <c r="K45" s="4" t="str">
        <f t="shared" ref="K45:K48" si="84">"-0.06"</f>
        <v>-0.06</v>
      </c>
      <c r="L45" s="4" t="str">
        <f t="shared" ref="L45:W45" si="85">"0.00"</f>
        <v>0.00</v>
      </c>
      <c r="M45" s="4" t="str">
        <f t="shared" si="64"/>
        <v>0.000</v>
      </c>
      <c r="N45" s="4" t="str">
        <f>"558.35"</f>
        <v>558.35</v>
      </c>
      <c r="O45" s="4" t="str">
        <f t="shared" si="65"/>
        <v>0</v>
      </c>
      <c r="P45" s="4" t="str">
        <f t="shared" si="85"/>
        <v>0.00</v>
      </c>
      <c r="Q45" s="4" t="str">
        <f t="shared" si="85"/>
        <v>0.00</v>
      </c>
      <c r="R45" s="4" t="str">
        <f t="shared" si="85"/>
        <v>0.00</v>
      </c>
      <c r="S45" s="4" t="str">
        <f t="shared" si="85"/>
        <v>0.00</v>
      </c>
      <c r="T45" s="4" t="str">
        <f t="shared" si="85"/>
        <v>0.00</v>
      </c>
      <c r="U45" s="4" t="str">
        <f t="shared" si="85"/>
        <v>0.00</v>
      </c>
      <c r="V45" s="4" t="str">
        <f t="shared" si="85"/>
        <v>0.00</v>
      </c>
      <c r="W45" s="4" t="str">
        <f t="shared" si="85"/>
        <v>0.00</v>
      </c>
      <c r="X45" s="4" t="str">
        <f t="shared" si="66"/>
        <v>0.00000</v>
      </c>
      <c r="Y45" s="4" t="str">
        <f t="shared" si="67"/>
        <v>0</v>
      </c>
      <c r="Z45" s="4" t="str">
        <f t="shared" si="68"/>
        <v>0</v>
      </c>
      <c r="AA45" s="4" t="str">
        <f t="shared" si="13"/>
        <v>人民币</v>
      </c>
      <c r="AB45" s="4" t="str">
        <f t="shared" si="14"/>
        <v>A368402599</v>
      </c>
    </row>
    <row r="46" spans="1:28">
      <c r="A46" s="4" t="str">
        <f>"20210310"</f>
        <v>20210310</v>
      </c>
      <c r="B46" s="4" t="str">
        <f>"20210310"</f>
        <v>20210310</v>
      </c>
      <c r="C46" s="4" t="str">
        <f t="shared" si="56"/>
        <v>0</v>
      </c>
      <c r="D46" s="4" t="str">
        <f t="shared" si="57"/>
        <v>00:00:00</v>
      </c>
      <c r="E46" s="4" t="str">
        <f t="shared" si="58"/>
        <v>港股通组合费</v>
      </c>
      <c r="F46" s="4" t="str">
        <f t="shared" si="59"/>
        <v/>
      </c>
      <c r="G46" s="4" t="str">
        <f t="shared" si="60"/>
        <v/>
      </c>
      <c r="H46" s="4" t="str">
        <f t="shared" si="61"/>
        <v>0.00</v>
      </c>
      <c r="I46" s="4" t="str">
        <f t="shared" si="62"/>
        <v>0</v>
      </c>
      <c r="J46" s="4" t="str">
        <f t="shared" si="83"/>
        <v>0.06</v>
      </c>
      <c r="K46" s="4" t="str">
        <f t="shared" si="84"/>
        <v>-0.06</v>
      </c>
      <c r="L46" s="4" t="str">
        <f t="shared" ref="L46:W46" si="86">"0.00"</f>
        <v>0.00</v>
      </c>
      <c r="M46" s="4" t="str">
        <f t="shared" si="64"/>
        <v>0.000</v>
      </c>
      <c r="N46" s="4" t="str">
        <f>"558.29"</f>
        <v>558.29</v>
      </c>
      <c r="O46" s="4" t="str">
        <f t="shared" si="65"/>
        <v>0</v>
      </c>
      <c r="P46" s="4" t="str">
        <f t="shared" si="86"/>
        <v>0.00</v>
      </c>
      <c r="Q46" s="4" t="str">
        <f t="shared" si="86"/>
        <v>0.00</v>
      </c>
      <c r="R46" s="4" t="str">
        <f t="shared" si="86"/>
        <v>0.00</v>
      </c>
      <c r="S46" s="4" t="str">
        <f t="shared" si="86"/>
        <v>0.00</v>
      </c>
      <c r="T46" s="4" t="str">
        <f t="shared" si="86"/>
        <v>0.00</v>
      </c>
      <c r="U46" s="4" t="str">
        <f t="shared" si="86"/>
        <v>0.00</v>
      </c>
      <c r="V46" s="4" t="str">
        <f t="shared" si="86"/>
        <v>0.00</v>
      </c>
      <c r="W46" s="4" t="str">
        <f t="shared" si="86"/>
        <v>0.00</v>
      </c>
      <c r="X46" s="4" t="str">
        <f t="shared" si="66"/>
        <v>0.00000</v>
      </c>
      <c r="Y46" s="4" t="str">
        <f t="shared" si="67"/>
        <v>0</v>
      </c>
      <c r="Z46" s="4" t="str">
        <f t="shared" si="68"/>
        <v>0</v>
      </c>
      <c r="AA46" s="4" t="str">
        <f t="shared" si="13"/>
        <v>人民币</v>
      </c>
      <c r="AB46" s="4" t="str">
        <f t="shared" si="14"/>
        <v>A368402599</v>
      </c>
    </row>
    <row r="47" spans="1:28">
      <c r="A47" s="4" t="str">
        <f>"20210311"</f>
        <v>20210311</v>
      </c>
      <c r="B47" s="4" t="str">
        <f>"20210311"</f>
        <v>20210311</v>
      </c>
      <c r="C47" s="4" t="str">
        <f t="shared" si="56"/>
        <v>0</v>
      </c>
      <c r="D47" s="4" t="str">
        <f t="shared" si="57"/>
        <v>00:00:00</v>
      </c>
      <c r="E47" s="4" t="str">
        <f t="shared" si="58"/>
        <v>港股通组合费</v>
      </c>
      <c r="F47" s="4" t="str">
        <f t="shared" si="59"/>
        <v/>
      </c>
      <c r="G47" s="4" t="str">
        <f t="shared" si="60"/>
        <v/>
      </c>
      <c r="H47" s="4" t="str">
        <f t="shared" si="61"/>
        <v>0.00</v>
      </c>
      <c r="I47" s="4" t="str">
        <f t="shared" si="62"/>
        <v>0</v>
      </c>
      <c r="J47" s="4" t="str">
        <f t="shared" si="83"/>
        <v>0.06</v>
      </c>
      <c r="K47" s="4" t="str">
        <f t="shared" si="84"/>
        <v>-0.06</v>
      </c>
      <c r="L47" s="4" t="str">
        <f t="shared" ref="L47:W47" si="87">"0.00"</f>
        <v>0.00</v>
      </c>
      <c r="M47" s="4" t="str">
        <f t="shared" si="64"/>
        <v>0.000</v>
      </c>
      <c r="N47" s="4" t="str">
        <f>"558.23"</f>
        <v>558.23</v>
      </c>
      <c r="O47" s="4" t="str">
        <f t="shared" si="65"/>
        <v>0</v>
      </c>
      <c r="P47" s="4" t="str">
        <f t="shared" si="87"/>
        <v>0.00</v>
      </c>
      <c r="Q47" s="4" t="str">
        <f t="shared" si="87"/>
        <v>0.00</v>
      </c>
      <c r="R47" s="4" t="str">
        <f t="shared" si="87"/>
        <v>0.00</v>
      </c>
      <c r="S47" s="4" t="str">
        <f t="shared" si="87"/>
        <v>0.00</v>
      </c>
      <c r="T47" s="4" t="str">
        <f t="shared" si="87"/>
        <v>0.00</v>
      </c>
      <c r="U47" s="4" t="str">
        <f t="shared" si="87"/>
        <v>0.00</v>
      </c>
      <c r="V47" s="4" t="str">
        <f t="shared" si="87"/>
        <v>0.00</v>
      </c>
      <c r="W47" s="4" t="str">
        <f t="shared" si="87"/>
        <v>0.00</v>
      </c>
      <c r="X47" s="4" t="str">
        <f t="shared" si="66"/>
        <v>0.00000</v>
      </c>
      <c r="Y47" s="4" t="str">
        <f t="shared" si="67"/>
        <v>0</v>
      </c>
      <c r="Z47" s="4" t="str">
        <f t="shared" si="68"/>
        <v>0</v>
      </c>
      <c r="AA47" s="4" t="str">
        <f t="shared" si="13"/>
        <v>人民币</v>
      </c>
      <c r="AB47" s="4" t="str">
        <f t="shared" si="14"/>
        <v>A368402599</v>
      </c>
    </row>
    <row r="48" spans="1:28">
      <c r="A48" s="4" t="str">
        <f>"20210312"</f>
        <v>20210312</v>
      </c>
      <c r="B48" s="4" t="str">
        <f>"20210312"</f>
        <v>20210312</v>
      </c>
      <c r="C48" s="4" t="str">
        <f t="shared" si="56"/>
        <v>0</v>
      </c>
      <c r="D48" s="4" t="str">
        <f t="shared" si="57"/>
        <v>00:00:00</v>
      </c>
      <c r="E48" s="4" t="str">
        <f t="shared" si="58"/>
        <v>港股通组合费</v>
      </c>
      <c r="F48" s="4" t="str">
        <f t="shared" si="59"/>
        <v/>
      </c>
      <c r="G48" s="4" t="str">
        <f t="shared" si="60"/>
        <v/>
      </c>
      <c r="H48" s="4" t="str">
        <f t="shared" si="61"/>
        <v>0.00</v>
      </c>
      <c r="I48" s="4" t="str">
        <f t="shared" si="62"/>
        <v>0</v>
      </c>
      <c r="J48" s="4" t="str">
        <f t="shared" si="83"/>
        <v>0.06</v>
      </c>
      <c r="K48" s="4" t="str">
        <f t="shared" si="84"/>
        <v>-0.06</v>
      </c>
      <c r="L48" s="4" t="str">
        <f t="shared" ref="L48:W48" si="88">"0.00"</f>
        <v>0.00</v>
      </c>
      <c r="M48" s="4" t="str">
        <f t="shared" si="64"/>
        <v>0.000</v>
      </c>
      <c r="N48" s="4" t="str">
        <f>"558.17"</f>
        <v>558.17</v>
      </c>
      <c r="O48" s="4" t="str">
        <f t="shared" si="65"/>
        <v>0</v>
      </c>
      <c r="P48" s="4" t="str">
        <f t="shared" si="88"/>
        <v>0.00</v>
      </c>
      <c r="Q48" s="4" t="str">
        <f t="shared" si="88"/>
        <v>0.00</v>
      </c>
      <c r="R48" s="4" t="str">
        <f t="shared" si="88"/>
        <v>0.00</v>
      </c>
      <c r="S48" s="4" t="str">
        <f t="shared" si="88"/>
        <v>0.00</v>
      </c>
      <c r="T48" s="4" t="str">
        <f t="shared" si="88"/>
        <v>0.00</v>
      </c>
      <c r="U48" s="4" t="str">
        <f t="shared" si="88"/>
        <v>0.00</v>
      </c>
      <c r="V48" s="4" t="str">
        <f t="shared" si="88"/>
        <v>0.00</v>
      </c>
      <c r="W48" s="4" t="str">
        <f t="shared" si="88"/>
        <v>0.00</v>
      </c>
      <c r="X48" s="4" t="str">
        <f t="shared" si="66"/>
        <v>0.00000</v>
      </c>
      <c r="Y48" s="4" t="str">
        <f t="shared" si="67"/>
        <v>0</v>
      </c>
      <c r="Z48" s="4" t="str">
        <f t="shared" si="68"/>
        <v>0</v>
      </c>
      <c r="AA48" s="4" t="str">
        <f t="shared" si="13"/>
        <v>人民币</v>
      </c>
      <c r="AB48" s="4" t="str">
        <f t="shared" si="14"/>
        <v>A368402599</v>
      </c>
    </row>
    <row r="49" spans="1:28">
      <c r="A49" s="4" t="str">
        <f>"20210315"</f>
        <v>20210315</v>
      </c>
      <c r="B49" s="4" t="str">
        <f>"20210315"</f>
        <v>20210315</v>
      </c>
      <c r="C49" s="4" t="str">
        <f t="shared" si="56"/>
        <v>0</v>
      </c>
      <c r="D49" s="4" t="str">
        <f t="shared" si="57"/>
        <v>00:00:00</v>
      </c>
      <c r="E49" s="4" t="str">
        <f t="shared" si="58"/>
        <v>港股通组合费</v>
      </c>
      <c r="F49" s="4" t="str">
        <f t="shared" si="59"/>
        <v/>
      </c>
      <c r="G49" s="4" t="str">
        <f t="shared" si="60"/>
        <v/>
      </c>
      <c r="H49" s="4" t="str">
        <f t="shared" si="61"/>
        <v>0.00</v>
      </c>
      <c r="I49" s="4" t="str">
        <f t="shared" si="62"/>
        <v>0</v>
      </c>
      <c r="J49" s="4" t="str">
        <f>"0.18"</f>
        <v>0.18</v>
      </c>
      <c r="K49" s="4" t="str">
        <f>"-0.18"</f>
        <v>-0.18</v>
      </c>
      <c r="L49" s="4" t="str">
        <f t="shared" ref="L49:W49" si="89">"0.00"</f>
        <v>0.00</v>
      </c>
      <c r="M49" s="4" t="str">
        <f t="shared" si="64"/>
        <v>0.000</v>
      </c>
      <c r="N49" s="4" t="str">
        <f>"557.99"</f>
        <v>557.99</v>
      </c>
      <c r="O49" s="4" t="str">
        <f t="shared" si="65"/>
        <v>0</v>
      </c>
      <c r="P49" s="4" t="str">
        <f t="shared" si="89"/>
        <v>0.00</v>
      </c>
      <c r="Q49" s="4" t="str">
        <f t="shared" si="89"/>
        <v>0.00</v>
      </c>
      <c r="R49" s="4" t="str">
        <f t="shared" si="89"/>
        <v>0.00</v>
      </c>
      <c r="S49" s="4" t="str">
        <f t="shared" si="89"/>
        <v>0.00</v>
      </c>
      <c r="T49" s="4" t="str">
        <f t="shared" si="89"/>
        <v>0.00</v>
      </c>
      <c r="U49" s="4" t="str">
        <f t="shared" si="89"/>
        <v>0.00</v>
      </c>
      <c r="V49" s="4" t="str">
        <f t="shared" si="89"/>
        <v>0.00</v>
      </c>
      <c r="W49" s="4" t="str">
        <f t="shared" si="89"/>
        <v>0.00</v>
      </c>
      <c r="X49" s="4" t="str">
        <f t="shared" si="66"/>
        <v>0.00000</v>
      </c>
      <c r="Y49" s="4" t="str">
        <f t="shared" si="67"/>
        <v>0</v>
      </c>
      <c r="Z49" s="4" t="str">
        <f t="shared" si="68"/>
        <v>0</v>
      </c>
      <c r="AA49" s="4" t="str">
        <f t="shared" si="13"/>
        <v>人民币</v>
      </c>
      <c r="AB49" s="4" t="str">
        <f t="shared" si="14"/>
        <v>A368402599</v>
      </c>
    </row>
    <row r="50" spans="1:28">
      <c r="A50" s="4" t="str">
        <f>"20210316"</f>
        <v>20210316</v>
      </c>
      <c r="B50" s="4" t="str">
        <f>"20210316"</f>
        <v>20210316</v>
      </c>
      <c r="C50" s="4" t="str">
        <f t="shared" si="56"/>
        <v>0</v>
      </c>
      <c r="D50" s="4" t="str">
        <f t="shared" si="57"/>
        <v>00:00:00</v>
      </c>
      <c r="E50" s="4" t="str">
        <f t="shared" si="58"/>
        <v>港股通组合费</v>
      </c>
      <c r="F50" s="4" t="str">
        <f t="shared" si="59"/>
        <v/>
      </c>
      <c r="G50" s="4" t="str">
        <f t="shared" si="60"/>
        <v/>
      </c>
      <c r="H50" s="4" t="str">
        <f t="shared" si="61"/>
        <v>0.00</v>
      </c>
      <c r="I50" s="4" t="str">
        <f t="shared" si="62"/>
        <v>0</v>
      </c>
      <c r="J50" s="4" t="str">
        <f t="shared" ref="J50:J53" si="90">"0.06"</f>
        <v>0.06</v>
      </c>
      <c r="K50" s="4" t="str">
        <f t="shared" ref="K50:K53" si="91">"-0.06"</f>
        <v>-0.06</v>
      </c>
      <c r="L50" s="4" t="str">
        <f t="shared" ref="L50:W50" si="92">"0.00"</f>
        <v>0.00</v>
      </c>
      <c r="M50" s="4" t="str">
        <f t="shared" si="64"/>
        <v>0.000</v>
      </c>
      <c r="N50" s="4" t="str">
        <f>"557.93"</f>
        <v>557.93</v>
      </c>
      <c r="O50" s="4" t="str">
        <f t="shared" si="65"/>
        <v>0</v>
      </c>
      <c r="P50" s="4" t="str">
        <f t="shared" si="92"/>
        <v>0.00</v>
      </c>
      <c r="Q50" s="4" t="str">
        <f t="shared" si="92"/>
        <v>0.00</v>
      </c>
      <c r="R50" s="4" t="str">
        <f t="shared" si="92"/>
        <v>0.00</v>
      </c>
      <c r="S50" s="4" t="str">
        <f t="shared" si="92"/>
        <v>0.00</v>
      </c>
      <c r="T50" s="4" t="str">
        <f t="shared" si="92"/>
        <v>0.00</v>
      </c>
      <c r="U50" s="4" t="str">
        <f t="shared" si="92"/>
        <v>0.00</v>
      </c>
      <c r="V50" s="4" t="str">
        <f t="shared" si="92"/>
        <v>0.00</v>
      </c>
      <c r="W50" s="4" t="str">
        <f t="shared" si="92"/>
        <v>0.00</v>
      </c>
      <c r="X50" s="4" t="str">
        <f t="shared" si="66"/>
        <v>0.00000</v>
      </c>
      <c r="Y50" s="4" t="str">
        <f t="shared" si="67"/>
        <v>0</v>
      </c>
      <c r="Z50" s="4" t="str">
        <f t="shared" si="68"/>
        <v>0</v>
      </c>
      <c r="AA50" s="4" t="str">
        <f t="shared" si="13"/>
        <v>人民币</v>
      </c>
      <c r="AB50" s="4" t="str">
        <f t="shared" si="14"/>
        <v>A368402599</v>
      </c>
    </row>
    <row r="51" spans="1:28">
      <c r="A51" s="4" t="str">
        <f>"20210317"</f>
        <v>20210317</v>
      </c>
      <c r="B51" s="4" t="str">
        <f>"20210317"</f>
        <v>20210317</v>
      </c>
      <c r="C51" s="4" t="str">
        <f t="shared" si="56"/>
        <v>0</v>
      </c>
      <c r="D51" s="4" t="str">
        <f t="shared" si="57"/>
        <v>00:00:00</v>
      </c>
      <c r="E51" s="4" t="str">
        <f t="shared" si="58"/>
        <v>港股通组合费</v>
      </c>
      <c r="F51" s="4" t="str">
        <f t="shared" si="59"/>
        <v/>
      </c>
      <c r="G51" s="4" t="str">
        <f t="shared" si="60"/>
        <v/>
      </c>
      <c r="H51" s="4" t="str">
        <f t="shared" si="61"/>
        <v>0.00</v>
      </c>
      <c r="I51" s="4" t="str">
        <f t="shared" si="62"/>
        <v>0</v>
      </c>
      <c r="J51" s="4" t="str">
        <f t="shared" si="90"/>
        <v>0.06</v>
      </c>
      <c r="K51" s="4" t="str">
        <f t="shared" si="91"/>
        <v>-0.06</v>
      </c>
      <c r="L51" s="4" t="str">
        <f t="shared" ref="L51:W51" si="93">"0.00"</f>
        <v>0.00</v>
      </c>
      <c r="M51" s="4" t="str">
        <f t="shared" si="64"/>
        <v>0.000</v>
      </c>
      <c r="N51" s="4" t="str">
        <f>"557.87"</f>
        <v>557.87</v>
      </c>
      <c r="O51" s="4" t="str">
        <f t="shared" si="65"/>
        <v>0</v>
      </c>
      <c r="P51" s="4" t="str">
        <f t="shared" si="93"/>
        <v>0.00</v>
      </c>
      <c r="Q51" s="4" t="str">
        <f t="shared" si="93"/>
        <v>0.00</v>
      </c>
      <c r="R51" s="4" t="str">
        <f t="shared" si="93"/>
        <v>0.00</v>
      </c>
      <c r="S51" s="4" t="str">
        <f t="shared" si="93"/>
        <v>0.00</v>
      </c>
      <c r="T51" s="4" t="str">
        <f t="shared" si="93"/>
        <v>0.00</v>
      </c>
      <c r="U51" s="4" t="str">
        <f t="shared" si="93"/>
        <v>0.00</v>
      </c>
      <c r="V51" s="4" t="str">
        <f t="shared" si="93"/>
        <v>0.00</v>
      </c>
      <c r="W51" s="4" t="str">
        <f t="shared" si="93"/>
        <v>0.00</v>
      </c>
      <c r="X51" s="4" t="str">
        <f t="shared" si="66"/>
        <v>0.00000</v>
      </c>
      <c r="Y51" s="4" t="str">
        <f t="shared" si="67"/>
        <v>0</v>
      </c>
      <c r="Z51" s="4" t="str">
        <f t="shared" si="68"/>
        <v>0</v>
      </c>
      <c r="AA51" s="4" t="str">
        <f t="shared" si="13"/>
        <v>人民币</v>
      </c>
      <c r="AB51" s="4" t="str">
        <f t="shared" si="14"/>
        <v>A368402599</v>
      </c>
    </row>
    <row r="52" spans="1:28">
      <c r="A52" s="4" t="str">
        <f>"20210318"</f>
        <v>20210318</v>
      </c>
      <c r="B52" s="4" t="str">
        <f>"20210318"</f>
        <v>20210318</v>
      </c>
      <c r="C52" s="4" t="str">
        <f t="shared" si="56"/>
        <v>0</v>
      </c>
      <c r="D52" s="4" t="str">
        <f t="shared" si="57"/>
        <v>00:00:00</v>
      </c>
      <c r="E52" s="4" t="str">
        <f t="shared" si="58"/>
        <v>港股通组合费</v>
      </c>
      <c r="F52" s="4" t="str">
        <f t="shared" si="59"/>
        <v/>
      </c>
      <c r="G52" s="4" t="str">
        <f t="shared" si="60"/>
        <v/>
      </c>
      <c r="H52" s="4" t="str">
        <f t="shared" si="61"/>
        <v>0.00</v>
      </c>
      <c r="I52" s="4" t="str">
        <f t="shared" si="62"/>
        <v>0</v>
      </c>
      <c r="J52" s="4" t="str">
        <f t="shared" si="90"/>
        <v>0.06</v>
      </c>
      <c r="K52" s="4" t="str">
        <f t="shared" si="91"/>
        <v>-0.06</v>
      </c>
      <c r="L52" s="4" t="str">
        <f t="shared" ref="L52:W52" si="94">"0.00"</f>
        <v>0.00</v>
      </c>
      <c r="M52" s="4" t="str">
        <f t="shared" si="64"/>
        <v>0.000</v>
      </c>
      <c r="N52" s="4" t="str">
        <f>"557.81"</f>
        <v>557.81</v>
      </c>
      <c r="O52" s="4" t="str">
        <f t="shared" si="65"/>
        <v>0</v>
      </c>
      <c r="P52" s="4" t="str">
        <f t="shared" si="94"/>
        <v>0.00</v>
      </c>
      <c r="Q52" s="4" t="str">
        <f t="shared" si="94"/>
        <v>0.00</v>
      </c>
      <c r="R52" s="4" t="str">
        <f t="shared" si="94"/>
        <v>0.00</v>
      </c>
      <c r="S52" s="4" t="str">
        <f t="shared" si="94"/>
        <v>0.00</v>
      </c>
      <c r="T52" s="4" t="str">
        <f t="shared" si="94"/>
        <v>0.00</v>
      </c>
      <c r="U52" s="4" t="str">
        <f t="shared" si="94"/>
        <v>0.00</v>
      </c>
      <c r="V52" s="4" t="str">
        <f t="shared" si="94"/>
        <v>0.00</v>
      </c>
      <c r="W52" s="4" t="str">
        <f t="shared" si="94"/>
        <v>0.00</v>
      </c>
      <c r="X52" s="4" t="str">
        <f t="shared" si="66"/>
        <v>0.00000</v>
      </c>
      <c r="Y52" s="4" t="str">
        <f t="shared" si="67"/>
        <v>0</v>
      </c>
      <c r="Z52" s="4" t="str">
        <f t="shared" si="68"/>
        <v>0</v>
      </c>
      <c r="AA52" s="4" t="str">
        <f t="shared" si="13"/>
        <v>人民币</v>
      </c>
      <c r="AB52" s="4" t="str">
        <f t="shared" si="14"/>
        <v>A368402599</v>
      </c>
    </row>
    <row r="53" spans="1:28">
      <c r="A53" s="4" t="str">
        <f>"20210319"</f>
        <v>20210319</v>
      </c>
      <c r="B53" s="4" t="str">
        <f>"20210319"</f>
        <v>20210319</v>
      </c>
      <c r="C53" s="4" t="str">
        <f t="shared" si="56"/>
        <v>0</v>
      </c>
      <c r="D53" s="4" t="str">
        <f t="shared" si="57"/>
        <v>00:00:00</v>
      </c>
      <c r="E53" s="4" t="str">
        <f t="shared" si="58"/>
        <v>港股通组合费</v>
      </c>
      <c r="F53" s="4" t="str">
        <f t="shared" si="59"/>
        <v/>
      </c>
      <c r="G53" s="4" t="str">
        <f t="shared" si="60"/>
        <v/>
      </c>
      <c r="H53" s="4" t="str">
        <f t="shared" si="61"/>
        <v>0.00</v>
      </c>
      <c r="I53" s="4" t="str">
        <f t="shared" si="62"/>
        <v>0</v>
      </c>
      <c r="J53" s="4" t="str">
        <f t="shared" si="90"/>
        <v>0.06</v>
      </c>
      <c r="K53" s="4" t="str">
        <f t="shared" si="91"/>
        <v>-0.06</v>
      </c>
      <c r="L53" s="4" t="str">
        <f t="shared" ref="L53:W53" si="95">"0.00"</f>
        <v>0.00</v>
      </c>
      <c r="M53" s="4" t="str">
        <f t="shared" si="64"/>
        <v>0.000</v>
      </c>
      <c r="N53" s="4" t="str">
        <f>"558.71"</f>
        <v>558.71</v>
      </c>
      <c r="O53" s="4" t="str">
        <f t="shared" si="65"/>
        <v>0</v>
      </c>
      <c r="P53" s="4" t="str">
        <f t="shared" si="95"/>
        <v>0.00</v>
      </c>
      <c r="Q53" s="4" t="str">
        <f t="shared" si="95"/>
        <v>0.00</v>
      </c>
      <c r="R53" s="4" t="str">
        <f t="shared" si="95"/>
        <v>0.00</v>
      </c>
      <c r="S53" s="4" t="str">
        <f t="shared" si="95"/>
        <v>0.00</v>
      </c>
      <c r="T53" s="4" t="str">
        <f t="shared" si="95"/>
        <v>0.00</v>
      </c>
      <c r="U53" s="4" t="str">
        <f t="shared" si="95"/>
        <v>0.00</v>
      </c>
      <c r="V53" s="4" t="str">
        <f t="shared" si="95"/>
        <v>0.00</v>
      </c>
      <c r="W53" s="4" t="str">
        <f t="shared" si="95"/>
        <v>0.00</v>
      </c>
      <c r="X53" s="4" t="str">
        <f t="shared" si="66"/>
        <v>0.00000</v>
      </c>
      <c r="Y53" s="4" t="str">
        <f t="shared" si="67"/>
        <v>0</v>
      </c>
      <c r="Z53" s="4" t="str">
        <f t="shared" si="68"/>
        <v>0</v>
      </c>
      <c r="AA53" s="4" t="str">
        <f t="shared" si="13"/>
        <v>人民币</v>
      </c>
      <c r="AB53" s="4" t="str">
        <f t="shared" si="14"/>
        <v>A368402599</v>
      </c>
    </row>
    <row r="54" spans="1:28">
      <c r="A54" s="4" t="str">
        <f>"20210322"</f>
        <v>20210322</v>
      </c>
      <c r="B54" s="4" t="str">
        <f>"20210322"</f>
        <v>20210322</v>
      </c>
      <c r="C54" s="4" t="str">
        <f t="shared" si="56"/>
        <v>0</v>
      </c>
      <c r="D54" s="4" t="str">
        <f t="shared" si="57"/>
        <v>00:00:00</v>
      </c>
      <c r="E54" s="4" t="str">
        <f t="shared" si="58"/>
        <v>港股通组合费</v>
      </c>
      <c r="F54" s="4" t="str">
        <f t="shared" si="59"/>
        <v/>
      </c>
      <c r="G54" s="4" t="str">
        <f t="shared" si="60"/>
        <v/>
      </c>
      <c r="H54" s="4" t="str">
        <f t="shared" si="61"/>
        <v>0.00</v>
      </c>
      <c r="I54" s="4" t="str">
        <f t="shared" si="62"/>
        <v>0</v>
      </c>
      <c r="J54" s="4" t="str">
        <f>"0.15"</f>
        <v>0.15</v>
      </c>
      <c r="K54" s="4" t="str">
        <f>"-0.15"</f>
        <v>-0.15</v>
      </c>
      <c r="L54" s="4" t="str">
        <f t="shared" ref="L54:W54" si="96">"0.00"</f>
        <v>0.00</v>
      </c>
      <c r="M54" s="4" t="str">
        <f t="shared" si="64"/>
        <v>0.000</v>
      </c>
      <c r="N54" s="4" t="str">
        <f>"565.73"</f>
        <v>565.73</v>
      </c>
      <c r="O54" s="4" t="str">
        <f t="shared" si="65"/>
        <v>0</v>
      </c>
      <c r="P54" s="4" t="str">
        <f t="shared" si="96"/>
        <v>0.00</v>
      </c>
      <c r="Q54" s="4" t="str">
        <f t="shared" si="96"/>
        <v>0.00</v>
      </c>
      <c r="R54" s="4" t="str">
        <f t="shared" si="96"/>
        <v>0.00</v>
      </c>
      <c r="S54" s="4" t="str">
        <f t="shared" si="96"/>
        <v>0.00</v>
      </c>
      <c r="T54" s="4" t="str">
        <f t="shared" si="96"/>
        <v>0.00</v>
      </c>
      <c r="U54" s="4" t="str">
        <f t="shared" si="96"/>
        <v>0.00</v>
      </c>
      <c r="V54" s="4" t="str">
        <f t="shared" si="96"/>
        <v>0.00</v>
      </c>
      <c r="W54" s="4" t="str">
        <f t="shared" si="96"/>
        <v>0.00</v>
      </c>
      <c r="X54" s="4" t="str">
        <f t="shared" si="66"/>
        <v>0.00000</v>
      </c>
      <c r="Y54" s="4" t="str">
        <f t="shared" si="67"/>
        <v>0</v>
      </c>
      <c r="Z54" s="4" t="str">
        <f t="shared" si="68"/>
        <v>0</v>
      </c>
      <c r="AA54" s="4" t="str">
        <f t="shared" si="13"/>
        <v>人民币</v>
      </c>
      <c r="AB54" s="4" t="str">
        <f t="shared" si="14"/>
        <v>A368402599</v>
      </c>
    </row>
    <row r="55" spans="1:28">
      <c r="A55" s="4" t="str">
        <f>"20210323"</f>
        <v>20210323</v>
      </c>
      <c r="B55" s="4" t="str">
        <f>"20210323"</f>
        <v>20210323</v>
      </c>
      <c r="C55" s="4" t="str">
        <f t="shared" si="56"/>
        <v>0</v>
      </c>
      <c r="D55" s="4" t="str">
        <f t="shared" si="57"/>
        <v>00:00:00</v>
      </c>
      <c r="E55" s="4" t="str">
        <f t="shared" si="58"/>
        <v>港股通组合费</v>
      </c>
      <c r="F55" s="4" t="str">
        <f t="shared" si="59"/>
        <v/>
      </c>
      <c r="G55" s="4" t="str">
        <f t="shared" si="60"/>
        <v/>
      </c>
      <c r="H55" s="4" t="str">
        <f t="shared" si="61"/>
        <v>0.00</v>
      </c>
      <c r="I55" s="4" t="str">
        <f t="shared" si="62"/>
        <v>0</v>
      </c>
      <c r="J55" s="4" t="str">
        <f>"0.06"</f>
        <v>0.06</v>
      </c>
      <c r="K55" s="4" t="str">
        <f>"-0.06"</f>
        <v>-0.06</v>
      </c>
      <c r="L55" s="4" t="str">
        <f t="shared" ref="L55:W55" si="97">"0.00"</f>
        <v>0.00</v>
      </c>
      <c r="M55" s="4" t="str">
        <f t="shared" si="64"/>
        <v>0.000</v>
      </c>
      <c r="N55" s="4" t="str">
        <f>"565.67"</f>
        <v>565.67</v>
      </c>
      <c r="O55" s="4" t="str">
        <f t="shared" si="65"/>
        <v>0</v>
      </c>
      <c r="P55" s="4" t="str">
        <f t="shared" si="97"/>
        <v>0.00</v>
      </c>
      <c r="Q55" s="4" t="str">
        <f t="shared" si="97"/>
        <v>0.00</v>
      </c>
      <c r="R55" s="4" t="str">
        <f t="shared" si="97"/>
        <v>0.00</v>
      </c>
      <c r="S55" s="4" t="str">
        <f t="shared" si="97"/>
        <v>0.00</v>
      </c>
      <c r="T55" s="4" t="str">
        <f t="shared" si="97"/>
        <v>0.00</v>
      </c>
      <c r="U55" s="4" t="str">
        <f t="shared" si="97"/>
        <v>0.00</v>
      </c>
      <c r="V55" s="4" t="str">
        <f t="shared" si="97"/>
        <v>0.00</v>
      </c>
      <c r="W55" s="4" t="str">
        <f t="shared" si="97"/>
        <v>0.00</v>
      </c>
      <c r="X55" s="4" t="str">
        <f t="shared" si="66"/>
        <v>0.00000</v>
      </c>
      <c r="Y55" s="4" t="str">
        <f t="shared" si="67"/>
        <v>0</v>
      </c>
      <c r="Z55" s="4" t="str">
        <f t="shared" si="68"/>
        <v>0</v>
      </c>
      <c r="AA55" s="4" t="str">
        <f t="shared" si="13"/>
        <v>人民币</v>
      </c>
      <c r="AB55" s="4" t="str">
        <f t="shared" si="14"/>
        <v>A368402599</v>
      </c>
    </row>
    <row r="56" spans="1:28">
      <c r="A56" s="4" t="str">
        <f>"20210324"</f>
        <v>20210324</v>
      </c>
      <c r="B56" s="4" t="str">
        <f>"20210324"</f>
        <v>20210324</v>
      </c>
      <c r="C56" s="4" t="str">
        <f t="shared" si="56"/>
        <v>0</v>
      </c>
      <c r="D56" s="4" t="str">
        <f t="shared" si="57"/>
        <v>00:00:00</v>
      </c>
      <c r="E56" s="4" t="str">
        <f t="shared" si="58"/>
        <v>港股通组合费</v>
      </c>
      <c r="F56" s="4" t="str">
        <f t="shared" si="59"/>
        <v/>
      </c>
      <c r="G56" s="4" t="str">
        <f t="shared" si="60"/>
        <v/>
      </c>
      <c r="H56" s="4" t="str">
        <f t="shared" si="61"/>
        <v>0.00</v>
      </c>
      <c r="I56" s="4" t="str">
        <f t="shared" si="62"/>
        <v>0</v>
      </c>
      <c r="J56" s="4" t="str">
        <f t="shared" ref="J56:J58" si="98">"0.05"</f>
        <v>0.05</v>
      </c>
      <c r="K56" s="4" t="str">
        <f t="shared" ref="K56:K58" si="99">"-0.05"</f>
        <v>-0.05</v>
      </c>
      <c r="L56" s="4" t="str">
        <f t="shared" ref="L56:W56" si="100">"0.00"</f>
        <v>0.00</v>
      </c>
      <c r="M56" s="4" t="str">
        <f t="shared" si="64"/>
        <v>0.000</v>
      </c>
      <c r="N56" s="4" t="str">
        <f>"565.62"</f>
        <v>565.62</v>
      </c>
      <c r="O56" s="4" t="str">
        <f t="shared" si="65"/>
        <v>0</v>
      </c>
      <c r="P56" s="4" t="str">
        <f t="shared" si="100"/>
        <v>0.00</v>
      </c>
      <c r="Q56" s="4" t="str">
        <f t="shared" si="100"/>
        <v>0.00</v>
      </c>
      <c r="R56" s="4" t="str">
        <f t="shared" si="100"/>
        <v>0.00</v>
      </c>
      <c r="S56" s="4" t="str">
        <f t="shared" si="100"/>
        <v>0.00</v>
      </c>
      <c r="T56" s="4" t="str">
        <f t="shared" si="100"/>
        <v>0.00</v>
      </c>
      <c r="U56" s="4" t="str">
        <f t="shared" si="100"/>
        <v>0.00</v>
      </c>
      <c r="V56" s="4" t="str">
        <f t="shared" si="100"/>
        <v>0.00</v>
      </c>
      <c r="W56" s="4" t="str">
        <f t="shared" si="100"/>
        <v>0.00</v>
      </c>
      <c r="X56" s="4" t="str">
        <f t="shared" si="66"/>
        <v>0.00000</v>
      </c>
      <c r="Y56" s="4" t="str">
        <f t="shared" si="67"/>
        <v>0</v>
      </c>
      <c r="Z56" s="4" t="str">
        <f t="shared" si="68"/>
        <v>0</v>
      </c>
      <c r="AA56" s="4" t="str">
        <f t="shared" si="13"/>
        <v>人民币</v>
      </c>
      <c r="AB56" s="4" t="str">
        <f t="shared" si="14"/>
        <v>A368402599</v>
      </c>
    </row>
    <row r="57" spans="1:28">
      <c r="A57" s="4" t="str">
        <f>"20210325"</f>
        <v>20210325</v>
      </c>
      <c r="B57" s="4" t="str">
        <f>"20210325"</f>
        <v>20210325</v>
      </c>
      <c r="C57" s="4" t="str">
        <f t="shared" si="56"/>
        <v>0</v>
      </c>
      <c r="D57" s="4" t="str">
        <f t="shared" si="57"/>
        <v>00:00:00</v>
      </c>
      <c r="E57" s="4" t="str">
        <f t="shared" si="58"/>
        <v>港股通组合费</v>
      </c>
      <c r="F57" s="4" t="str">
        <f t="shared" si="59"/>
        <v/>
      </c>
      <c r="G57" s="4" t="str">
        <f t="shared" si="60"/>
        <v/>
      </c>
      <c r="H57" s="4" t="str">
        <f t="shared" si="61"/>
        <v>0.00</v>
      </c>
      <c r="I57" s="4" t="str">
        <f t="shared" si="62"/>
        <v>0</v>
      </c>
      <c r="J57" s="4" t="str">
        <f t="shared" si="98"/>
        <v>0.05</v>
      </c>
      <c r="K57" s="4" t="str">
        <f t="shared" si="99"/>
        <v>-0.05</v>
      </c>
      <c r="L57" s="4" t="str">
        <f t="shared" ref="L57:W57" si="101">"0.00"</f>
        <v>0.00</v>
      </c>
      <c r="M57" s="4" t="str">
        <f t="shared" si="64"/>
        <v>0.000</v>
      </c>
      <c r="N57" s="4" t="str">
        <f>"565.57"</f>
        <v>565.57</v>
      </c>
      <c r="O57" s="4" t="str">
        <f t="shared" si="65"/>
        <v>0</v>
      </c>
      <c r="P57" s="4" t="str">
        <f t="shared" si="101"/>
        <v>0.00</v>
      </c>
      <c r="Q57" s="4" t="str">
        <f t="shared" si="101"/>
        <v>0.00</v>
      </c>
      <c r="R57" s="4" t="str">
        <f t="shared" si="101"/>
        <v>0.00</v>
      </c>
      <c r="S57" s="4" t="str">
        <f t="shared" si="101"/>
        <v>0.00</v>
      </c>
      <c r="T57" s="4" t="str">
        <f t="shared" si="101"/>
        <v>0.00</v>
      </c>
      <c r="U57" s="4" t="str">
        <f t="shared" si="101"/>
        <v>0.00</v>
      </c>
      <c r="V57" s="4" t="str">
        <f t="shared" si="101"/>
        <v>0.00</v>
      </c>
      <c r="W57" s="4" t="str">
        <f t="shared" si="101"/>
        <v>0.00</v>
      </c>
      <c r="X57" s="4" t="str">
        <f t="shared" si="66"/>
        <v>0.00000</v>
      </c>
      <c r="Y57" s="4" t="str">
        <f t="shared" si="67"/>
        <v>0</v>
      </c>
      <c r="Z57" s="4" t="str">
        <f t="shared" si="68"/>
        <v>0</v>
      </c>
      <c r="AA57" s="4" t="str">
        <f t="shared" si="13"/>
        <v>人民币</v>
      </c>
      <c r="AB57" s="4" t="str">
        <f t="shared" si="14"/>
        <v>A368402599</v>
      </c>
    </row>
    <row r="58" spans="1:28">
      <c r="A58" s="4" t="str">
        <f>"20210326"</f>
        <v>20210326</v>
      </c>
      <c r="B58" s="4" t="str">
        <f>"20210326"</f>
        <v>20210326</v>
      </c>
      <c r="C58" s="4" t="str">
        <f t="shared" si="56"/>
        <v>0</v>
      </c>
      <c r="D58" s="4" t="str">
        <f t="shared" si="57"/>
        <v>00:00:00</v>
      </c>
      <c r="E58" s="4" t="str">
        <f t="shared" si="58"/>
        <v>港股通组合费</v>
      </c>
      <c r="F58" s="4" t="str">
        <f t="shared" si="59"/>
        <v/>
      </c>
      <c r="G58" s="4" t="str">
        <f t="shared" si="60"/>
        <v/>
      </c>
      <c r="H58" s="4" t="str">
        <f t="shared" si="61"/>
        <v>0.00</v>
      </c>
      <c r="I58" s="4" t="str">
        <f t="shared" si="62"/>
        <v>0</v>
      </c>
      <c r="J58" s="4" t="str">
        <f t="shared" si="98"/>
        <v>0.05</v>
      </c>
      <c r="K58" s="4" t="str">
        <f t="shared" si="99"/>
        <v>-0.05</v>
      </c>
      <c r="L58" s="4" t="str">
        <f t="shared" ref="L58:W58" si="102">"0.00"</f>
        <v>0.00</v>
      </c>
      <c r="M58" s="4" t="str">
        <f t="shared" si="64"/>
        <v>0.000</v>
      </c>
      <c r="N58" s="4" t="str">
        <f>"565.52"</f>
        <v>565.52</v>
      </c>
      <c r="O58" s="4" t="str">
        <f t="shared" si="65"/>
        <v>0</v>
      </c>
      <c r="P58" s="4" t="str">
        <f t="shared" si="102"/>
        <v>0.00</v>
      </c>
      <c r="Q58" s="4" t="str">
        <f t="shared" si="102"/>
        <v>0.00</v>
      </c>
      <c r="R58" s="4" t="str">
        <f t="shared" si="102"/>
        <v>0.00</v>
      </c>
      <c r="S58" s="4" t="str">
        <f t="shared" si="102"/>
        <v>0.00</v>
      </c>
      <c r="T58" s="4" t="str">
        <f t="shared" si="102"/>
        <v>0.00</v>
      </c>
      <c r="U58" s="4" t="str">
        <f t="shared" si="102"/>
        <v>0.00</v>
      </c>
      <c r="V58" s="4" t="str">
        <f t="shared" si="102"/>
        <v>0.00</v>
      </c>
      <c r="W58" s="4" t="str">
        <f t="shared" si="102"/>
        <v>0.00</v>
      </c>
      <c r="X58" s="4" t="str">
        <f t="shared" si="66"/>
        <v>0.00000</v>
      </c>
      <c r="Y58" s="4" t="str">
        <f t="shared" si="67"/>
        <v>0</v>
      </c>
      <c r="Z58" s="4" t="str">
        <f t="shared" si="68"/>
        <v>0</v>
      </c>
      <c r="AA58" s="4" t="str">
        <f t="shared" si="13"/>
        <v>人民币</v>
      </c>
      <c r="AB58" s="4" t="str">
        <f t="shared" si="14"/>
        <v>A368402599</v>
      </c>
    </row>
    <row r="59" spans="1:28">
      <c r="A59" s="4" t="str">
        <f>"20210329"</f>
        <v>20210329</v>
      </c>
      <c r="B59" s="4" t="str">
        <f>"20210329"</f>
        <v>20210329</v>
      </c>
      <c r="C59" s="4" t="str">
        <f t="shared" si="56"/>
        <v>0</v>
      </c>
      <c r="D59" s="4" t="str">
        <f t="shared" si="57"/>
        <v>00:00:00</v>
      </c>
      <c r="E59" s="4" t="str">
        <f t="shared" si="58"/>
        <v>港股通组合费</v>
      </c>
      <c r="F59" s="4" t="str">
        <f t="shared" si="59"/>
        <v/>
      </c>
      <c r="G59" s="4" t="str">
        <f t="shared" si="60"/>
        <v/>
      </c>
      <c r="H59" s="4" t="str">
        <f t="shared" si="61"/>
        <v>0.00</v>
      </c>
      <c r="I59" s="4" t="str">
        <f t="shared" si="62"/>
        <v>0</v>
      </c>
      <c r="J59" s="4" t="str">
        <f>"0.15"</f>
        <v>0.15</v>
      </c>
      <c r="K59" s="4" t="str">
        <f>"-0.15"</f>
        <v>-0.15</v>
      </c>
      <c r="L59" s="4" t="str">
        <f t="shared" ref="L59:W59" si="103">"0.00"</f>
        <v>0.00</v>
      </c>
      <c r="M59" s="4" t="str">
        <f t="shared" si="64"/>
        <v>0.000</v>
      </c>
      <c r="N59" s="4" t="str">
        <f>"565.37"</f>
        <v>565.37</v>
      </c>
      <c r="O59" s="4" t="str">
        <f t="shared" si="65"/>
        <v>0</v>
      </c>
      <c r="P59" s="4" t="str">
        <f t="shared" si="103"/>
        <v>0.00</v>
      </c>
      <c r="Q59" s="4" t="str">
        <f t="shared" si="103"/>
        <v>0.00</v>
      </c>
      <c r="R59" s="4" t="str">
        <f t="shared" si="103"/>
        <v>0.00</v>
      </c>
      <c r="S59" s="4" t="str">
        <f t="shared" si="103"/>
        <v>0.00</v>
      </c>
      <c r="T59" s="4" t="str">
        <f t="shared" si="103"/>
        <v>0.00</v>
      </c>
      <c r="U59" s="4" t="str">
        <f t="shared" si="103"/>
        <v>0.00</v>
      </c>
      <c r="V59" s="4" t="str">
        <f t="shared" si="103"/>
        <v>0.00</v>
      </c>
      <c r="W59" s="4" t="str">
        <f t="shared" si="103"/>
        <v>0.00</v>
      </c>
      <c r="X59" s="4" t="str">
        <f t="shared" si="66"/>
        <v>0.00000</v>
      </c>
      <c r="Y59" s="4" t="str">
        <f t="shared" si="67"/>
        <v>0</v>
      </c>
      <c r="Z59" s="4" t="str">
        <f t="shared" si="68"/>
        <v>0</v>
      </c>
      <c r="AA59" s="4" t="str">
        <f t="shared" si="13"/>
        <v>人民币</v>
      </c>
      <c r="AB59" s="4" t="str">
        <f t="shared" si="14"/>
        <v>A368402599</v>
      </c>
    </row>
    <row r="60" spans="1:28">
      <c r="A60" s="4" t="str">
        <f>"20210330"</f>
        <v>20210330</v>
      </c>
      <c r="B60" s="4" t="str">
        <f>"20210330"</f>
        <v>20210330</v>
      </c>
      <c r="C60" s="4" t="str">
        <f t="shared" si="56"/>
        <v>0</v>
      </c>
      <c r="D60" s="4" t="str">
        <f t="shared" si="57"/>
        <v>00:00:00</v>
      </c>
      <c r="E60" s="4" t="str">
        <f t="shared" si="58"/>
        <v>港股通组合费</v>
      </c>
      <c r="F60" s="4" t="str">
        <f t="shared" si="59"/>
        <v/>
      </c>
      <c r="G60" s="4" t="str">
        <f t="shared" si="60"/>
        <v/>
      </c>
      <c r="H60" s="4" t="str">
        <f t="shared" si="61"/>
        <v>0.00</v>
      </c>
      <c r="I60" s="4" t="str">
        <f t="shared" si="62"/>
        <v>0</v>
      </c>
      <c r="J60" s="4" t="str">
        <f>"0.06"</f>
        <v>0.06</v>
      </c>
      <c r="K60" s="4" t="str">
        <f>"-0.06"</f>
        <v>-0.06</v>
      </c>
      <c r="L60" s="4" t="str">
        <f t="shared" ref="L60:W60" si="104">"0.00"</f>
        <v>0.00</v>
      </c>
      <c r="M60" s="4" t="str">
        <f t="shared" si="64"/>
        <v>0.000</v>
      </c>
      <c r="N60" s="4" t="str">
        <f>"565.31"</f>
        <v>565.31</v>
      </c>
      <c r="O60" s="4" t="str">
        <f t="shared" si="65"/>
        <v>0</v>
      </c>
      <c r="P60" s="4" t="str">
        <f t="shared" si="104"/>
        <v>0.00</v>
      </c>
      <c r="Q60" s="4" t="str">
        <f t="shared" si="104"/>
        <v>0.00</v>
      </c>
      <c r="R60" s="4" t="str">
        <f t="shared" si="104"/>
        <v>0.00</v>
      </c>
      <c r="S60" s="4" t="str">
        <f t="shared" si="104"/>
        <v>0.00</v>
      </c>
      <c r="T60" s="4" t="str">
        <f t="shared" si="104"/>
        <v>0.00</v>
      </c>
      <c r="U60" s="4" t="str">
        <f t="shared" si="104"/>
        <v>0.00</v>
      </c>
      <c r="V60" s="4" t="str">
        <f t="shared" si="104"/>
        <v>0.00</v>
      </c>
      <c r="W60" s="4" t="str">
        <f t="shared" si="104"/>
        <v>0.00</v>
      </c>
      <c r="X60" s="4" t="str">
        <f t="shared" si="66"/>
        <v>0.00000</v>
      </c>
      <c r="Y60" s="4" t="str">
        <f t="shared" si="67"/>
        <v>0</v>
      </c>
      <c r="Z60" s="4" t="str">
        <f t="shared" si="68"/>
        <v>0</v>
      </c>
      <c r="AA60" s="4" t="str">
        <f t="shared" si="13"/>
        <v>人民币</v>
      </c>
      <c r="AB60" s="4" t="str">
        <f t="shared" si="14"/>
        <v>A368402599</v>
      </c>
    </row>
    <row r="61" spans="1:28">
      <c r="A61" s="4" t="str">
        <f>"20210331"</f>
        <v>20210331</v>
      </c>
      <c r="B61" s="4" t="str">
        <f>"20210331"</f>
        <v>20210331</v>
      </c>
      <c r="C61" s="4" t="str">
        <f t="shared" si="56"/>
        <v>0</v>
      </c>
      <c r="D61" s="4" t="str">
        <f t="shared" si="57"/>
        <v>00:00:00</v>
      </c>
      <c r="E61" s="4" t="str">
        <f t="shared" si="58"/>
        <v>港股通组合费</v>
      </c>
      <c r="F61" s="4" t="str">
        <f t="shared" si="59"/>
        <v/>
      </c>
      <c r="G61" s="4" t="str">
        <f t="shared" si="60"/>
        <v/>
      </c>
      <c r="H61" s="4" t="str">
        <f t="shared" si="61"/>
        <v>0.00</v>
      </c>
      <c r="I61" s="4" t="str">
        <f t="shared" si="62"/>
        <v>0</v>
      </c>
      <c r="J61" s="4" t="str">
        <f>"0.06"</f>
        <v>0.06</v>
      </c>
      <c r="K61" s="4" t="str">
        <f>"-0.06"</f>
        <v>-0.06</v>
      </c>
      <c r="L61" s="4" t="str">
        <f t="shared" ref="L61:W61" si="105">"0.00"</f>
        <v>0.00</v>
      </c>
      <c r="M61" s="4" t="str">
        <f t="shared" si="64"/>
        <v>0.000</v>
      </c>
      <c r="N61" s="4" t="str">
        <f>"565.25"</f>
        <v>565.25</v>
      </c>
      <c r="O61" s="4" t="str">
        <f t="shared" si="65"/>
        <v>0</v>
      </c>
      <c r="P61" s="4" t="str">
        <f t="shared" si="105"/>
        <v>0.00</v>
      </c>
      <c r="Q61" s="4" t="str">
        <f t="shared" si="105"/>
        <v>0.00</v>
      </c>
      <c r="R61" s="4" t="str">
        <f t="shared" si="105"/>
        <v>0.00</v>
      </c>
      <c r="S61" s="4" t="str">
        <f t="shared" si="105"/>
        <v>0.00</v>
      </c>
      <c r="T61" s="4" t="str">
        <f t="shared" si="105"/>
        <v>0.00</v>
      </c>
      <c r="U61" s="4" t="str">
        <f t="shared" si="105"/>
        <v>0.00</v>
      </c>
      <c r="V61" s="4" t="str">
        <f t="shared" si="105"/>
        <v>0.00</v>
      </c>
      <c r="W61" s="4" t="str">
        <f t="shared" si="105"/>
        <v>0.00</v>
      </c>
      <c r="X61" s="4" t="str">
        <f t="shared" si="66"/>
        <v>0.00000</v>
      </c>
      <c r="Y61" s="4" t="str">
        <f t="shared" si="67"/>
        <v>0</v>
      </c>
      <c r="Z61" s="4" t="str">
        <f t="shared" si="68"/>
        <v>0</v>
      </c>
      <c r="AA61" s="4" t="str">
        <f t="shared" si="13"/>
        <v>人民币</v>
      </c>
      <c r="AB61" s="4" t="str">
        <f t="shared" si="14"/>
        <v>A368402599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9"/>
  <sheetViews>
    <sheetView zoomScaleSheetLayoutView="60" workbookViewId="0">
      <selection activeCell="A2" sqref="A2:K59"/>
    </sheetView>
  </sheetViews>
  <sheetFormatPr defaultColWidth="9" defaultRowHeight="13.5"/>
  <cols>
    <col min="1" max="16384" width="9" style="4"/>
  </cols>
  <sheetData>
    <row r="1" spans="1:15">
      <c r="A1" s="4" t="str">
        <f>"成交日期"</f>
        <v>成交日期</v>
      </c>
      <c r="B1" s="4" t="str">
        <f>"委托日期"</f>
        <v>委托日期</v>
      </c>
      <c r="C1" s="4" t="str">
        <f>"业务类型"</f>
        <v>业务类型</v>
      </c>
      <c r="D1" s="4" t="str">
        <f>"证券代码"</f>
        <v>证券代码</v>
      </c>
      <c r="E1" s="4" t="str">
        <f>"证券名称"</f>
        <v>证券名称</v>
      </c>
      <c r="F1" s="4" t="str">
        <f>"成交价格"</f>
        <v>成交价格</v>
      </c>
      <c r="G1" s="4" t="str">
        <f>"成交数量"</f>
        <v>成交数量</v>
      </c>
      <c r="H1" s="4" t="str">
        <f>"成交金额"</f>
        <v>成交金额</v>
      </c>
      <c r="I1" s="4" t="str">
        <f>"发生金额"</f>
        <v>发生金额</v>
      </c>
      <c r="J1" s="4" t="str">
        <f>"资金余额"</f>
        <v>资金余额</v>
      </c>
      <c r="K1" s="4" t="str">
        <f>"当前持仓"</f>
        <v>当前持仓</v>
      </c>
      <c r="L1" s="4" t="str">
        <f>"币种"</f>
        <v>币种</v>
      </c>
      <c r="M1" s="4" t="str">
        <f>"协议编号"</f>
        <v>协议编号</v>
      </c>
      <c r="N1" s="4" t="str">
        <f>"股东代码"</f>
        <v>股东代码</v>
      </c>
      <c r="O1" s="4" t="str">
        <f>"产品账号"</f>
        <v>产品账号</v>
      </c>
    </row>
    <row r="2" spans="1:15">
      <c r="A2" s="4" t="str">
        <f>"20210416"</f>
        <v>20210416</v>
      </c>
      <c r="B2" s="4" t="str">
        <f>"20210416"</f>
        <v>20210416</v>
      </c>
      <c r="C2" s="4" t="str">
        <f>"基金申购拨出"</f>
        <v>基金申购拨出</v>
      </c>
      <c r="D2" s="4" t="str">
        <f t="shared" ref="D2:D6" si="0">"AA0007"</f>
        <v>AA0007</v>
      </c>
      <c r="E2" s="4" t="str">
        <f t="shared" ref="E2:E6" si="1">"银河水星1号集合"</f>
        <v>银河水星1号集合</v>
      </c>
      <c r="F2" s="4">
        <v>0</v>
      </c>
      <c r="G2" s="4">
        <v>0</v>
      </c>
      <c r="H2" s="4">
        <v>0</v>
      </c>
      <c r="I2" s="4">
        <v>-14559.68</v>
      </c>
      <c r="J2" s="4">
        <v>-13995.33</v>
      </c>
      <c r="K2" s="4">
        <v>0</v>
      </c>
      <c r="L2" s="4" t="str">
        <f t="shared" ref="L2:L59" si="2">"人民币"</f>
        <v>人民币</v>
      </c>
      <c r="N2" s="4" t="str">
        <f t="shared" ref="N2:N6" si="3">"980149593788"</f>
        <v>980149593788</v>
      </c>
      <c r="O2" s="4" t="str">
        <f t="shared" ref="O2:O59" si="4">"300100052893"</f>
        <v>300100052893</v>
      </c>
    </row>
    <row r="3" spans="1:15">
      <c r="A3" s="4" t="str">
        <f>"20210419"</f>
        <v>20210419</v>
      </c>
      <c r="B3" s="4" t="str">
        <f>"20210419"</f>
        <v>20210419</v>
      </c>
      <c r="C3" s="4" t="str">
        <f t="shared" ref="C3:C8" si="5">"基金赎回拨入"</f>
        <v>基金赎回拨入</v>
      </c>
      <c r="D3" s="4" t="str">
        <f t="shared" si="0"/>
        <v>AA0007</v>
      </c>
      <c r="E3" s="4" t="str">
        <f t="shared" si="1"/>
        <v>银河水星1号集合</v>
      </c>
      <c r="F3" s="4">
        <v>0</v>
      </c>
      <c r="G3" s="4">
        <v>0</v>
      </c>
      <c r="H3" s="4">
        <v>0</v>
      </c>
      <c r="I3" s="4">
        <v>0.06</v>
      </c>
      <c r="J3" s="4">
        <v>5</v>
      </c>
      <c r="K3" s="4">
        <v>0</v>
      </c>
      <c r="L3" s="4" t="str">
        <f t="shared" si="2"/>
        <v>人民币</v>
      </c>
      <c r="N3" s="4" t="str">
        <f t="shared" si="3"/>
        <v>980149593788</v>
      </c>
      <c r="O3" s="4" t="str">
        <f t="shared" si="4"/>
        <v>300100052893</v>
      </c>
    </row>
    <row r="4" spans="1:15">
      <c r="A4" s="4" t="str">
        <f>"20210420"</f>
        <v>20210420</v>
      </c>
      <c r="B4" s="4" t="str">
        <f>"20210420"</f>
        <v>20210420</v>
      </c>
      <c r="C4" s="4" t="str">
        <f t="shared" si="5"/>
        <v>基金赎回拨入</v>
      </c>
      <c r="D4" s="4" t="str">
        <f t="shared" si="0"/>
        <v>AA0007</v>
      </c>
      <c r="E4" s="4" t="str">
        <f t="shared" si="1"/>
        <v>银河水星1号集合</v>
      </c>
      <c r="F4" s="4">
        <v>0</v>
      </c>
      <c r="G4" s="4">
        <v>0</v>
      </c>
      <c r="H4" s="4">
        <v>0</v>
      </c>
      <c r="I4" s="4">
        <v>0.18</v>
      </c>
      <c r="J4" s="4">
        <v>5</v>
      </c>
      <c r="K4" s="4">
        <v>0</v>
      </c>
      <c r="L4" s="4" t="str">
        <f t="shared" si="2"/>
        <v>人民币</v>
      </c>
      <c r="N4" s="4" t="str">
        <f t="shared" si="3"/>
        <v>980149593788</v>
      </c>
      <c r="O4" s="4" t="str">
        <f t="shared" si="4"/>
        <v>300100052893</v>
      </c>
    </row>
    <row r="5" spans="1:15">
      <c r="A5" s="4" t="str">
        <f>"20210421"</f>
        <v>20210421</v>
      </c>
      <c r="B5" s="4" t="str">
        <f>"20210421"</f>
        <v>20210421</v>
      </c>
      <c r="C5" s="4" t="str">
        <f t="shared" si="5"/>
        <v>基金赎回拨入</v>
      </c>
      <c r="D5" s="4" t="str">
        <f t="shared" si="0"/>
        <v>AA0007</v>
      </c>
      <c r="E5" s="4" t="str">
        <f t="shared" si="1"/>
        <v>银河水星1号集合</v>
      </c>
      <c r="F5" s="4">
        <v>0</v>
      </c>
      <c r="G5" s="4">
        <v>0</v>
      </c>
      <c r="H5" s="4">
        <v>0</v>
      </c>
      <c r="I5" s="4">
        <v>0.06</v>
      </c>
      <c r="J5" s="4">
        <v>5</v>
      </c>
      <c r="K5" s="4">
        <v>0</v>
      </c>
      <c r="L5" s="4" t="str">
        <f t="shared" si="2"/>
        <v>人民币</v>
      </c>
      <c r="N5" s="4" t="str">
        <f t="shared" si="3"/>
        <v>980149593788</v>
      </c>
      <c r="O5" s="4" t="str">
        <f t="shared" si="4"/>
        <v>300100052893</v>
      </c>
    </row>
    <row r="6" spans="1:15">
      <c r="A6" s="4" t="str">
        <f>"20210422"</f>
        <v>20210422</v>
      </c>
      <c r="B6" s="4" t="str">
        <f>"20210422"</f>
        <v>20210422</v>
      </c>
      <c r="C6" s="4" t="str">
        <f>"基金申购拨出"</f>
        <v>基金申购拨出</v>
      </c>
      <c r="D6" s="4" t="str">
        <f t="shared" si="0"/>
        <v>AA0007</v>
      </c>
      <c r="E6" s="4" t="str">
        <f t="shared" si="1"/>
        <v>银河水星1号集合</v>
      </c>
      <c r="F6" s="4">
        <v>0</v>
      </c>
      <c r="G6" s="4">
        <v>0</v>
      </c>
      <c r="H6" s="4">
        <v>0</v>
      </c>
      <c r="I6" s="4">
        <v>-14650.27</v>
      </c>
      <c r="J6" s="4">
        <v>-14645.33</v>
      </c>
      <c r="K6" s="4">
        <v>0</v>
      </c>
      <c r="L6" s="4" t="str">
        <f t="shared" si="2"/>
        <v>人民币</v>
      </c>
      <c r="N6" s="4" t="str">
        <f t="shared" si="3"/>
        <v>980149593788</v>
      </c>
      <c r="O6" s="4" t="str">
        <f t="shared" si="4"/>
        <v>300100052893</v>
      </c>
    </row>
    <row r="7" spans="1:15">
      <c r="A7" s="4" t="str">
        <f>"20210422"</f>
        <v>20210422</v>
      </c>
      <c r="B7" s="4" t="str">
        <f>"20210422"</f>
        <v>20210422</v>
      </c>
      <c r="C7" s="4" t="str">
        <f>"证券卖出"</f>
        <v>证券卖出</v>
      </c>
      <c r="D7" s="4" t="str">
        <f>"002183"</f>
        <v>002183</v>
      </c>
      <c r="E7" s="4" t="str">
        <f>"怡 亚 通"</f>
        <v>怡 亚 通</v>
      </c>
      <c r="F7" s="4">
        <v>4.89</v>
      </c>
      <c r="G7" s="4">
        <v>3000</v>
      </c>
      <c r="H7" s="4">
        <v>14670</v>
      </c>
      <c r="I7" s="4">
        <v>14650.33</v>
      </c>
      <c r="J7" s="4">
        <v>5</v>
      </c>
      <c r="K7" s="4">
        <v>0</v>
      </c>
      <c r="L7" s="4" t="str">
        <f t="shared" si="2"/>
        <v>人民币</v>
      </c>
      <c r="M7" s="4" t="str">
        <f>"T4011756"</f>
        <v>T4011756</v>
      </c>
      <c r="N7" s="4" t="str">
        <f>"0149593788"</f>
        <v>0149593788</v>
      </c>
      <c r="O7" s="4" t="str">
        <f t="shared" si="4"/>
        <v>300100052893</v>
      </c>
    </row>
    <row r="8" spans="1:15">
      <c r="A8" s="4" t="str">
        <f>"20210423"</f>
        <v>20210423</v>
      </c>
      <c r="B8" s="4" t="str">
        <f>"20210423"</f>
        <v>20210423</v>
      </c>
      <c r="C8" s="4" t="str">
        <f t="shared" si="5"/>
        <v>基金赎回拨入</v>
      </c>
      <c r="D8" s="4" t="str">
        <f t="shared" ref="D8:D32" si="6">"AA0007"</f>
        <v>AA0007</v>
      </c>
      <c r="E8" s="4" t="str">
        <f t="shared" ref="E8:E32" si="7">"银河水星1号集合"</f>
        <v>银河水星1号集合</v>
      </c>
      <c r="F8" s="4">
        <v>0</v>
      </c>
      <c r="G8" s="4">
        <v>0</v>
      </c>
      <c r="H8" s="4">
        <v>0</v>
      </c>
      <c r="I8" s="4">
        <v>0.05</v>
      </c>
      <c r="J8" s="4">
        <v>5</v>
      </c>
      <c r="K8" s="4">
        <v>0</v>
      </c>
      <c r="L8" s="4" t="str">
        <f t="shared" si="2"/>
        <v>人民币</v>
      </c>
      <c r="N8" s="4" t="str">
        <f t="shared" ref="N8:N32" si="8">"980149593788"</f>
        <v>980149593788</v>
      </c>
      <c r="O8" s="4" t="str">
        <f t="shared" si="4"/>
        <v>300100052893</v>
      </c>
    </row>
    <row r="9" spans="1:15">
      <c r="A9" s="4" t="str">
        <f>"20210426"</f>
        <v>20210426</v>
      </c>
      <c r="B9" s="4" t="str">
        <f>"20210426"</f>
        <v>20210426</v>
      </c>
      <c r="C9" s="4" t="str">
        <f>"基金申购拨出"</f>
        <v>基金申购拨出</v>
      </c>
      <c r="D9" s="4" t="str">
        <f t="shared" si="6"/>
        <v>AA0007</v>
      </c>
      <c r="E9" s="4" t="str">
        <f t="shared" si="7"/>
        <v>银河水星1号集合</v>
      </c>
      <c r="F9" s="4">
        <v>0</v>
      </c>
      <c r="G9" s="4">
        <v>0</v>
      </c>
      <c r="H9" s="4">
        <v>0</v>
      </c>
      <c r="I9" s="4">
        <v>-16140.89</v>
      </c>
      <c r="J9" s="4">
        <v>-16135.94</v>
      </c>
      <c r="K9" s="4">
        <v>0</v>
      </c>
      <c r="L9" s="4" t="str">
        <f t="shared" si="2"/>
        <v>人民币</v>
      </c>
      <c r="N9" s="4" t="str">
        <f t="shared" si="8"/>
        <v>980149593788</v>
      </c>
      <c r="O9" s="4" t="str">
        <f t="shared" si="4"/>
        <v>300100052893</v>
      </c>
    </row>
    <row r="10" spans="1:15">
      <c r="A10" s="4" t="str">
        <f>"20210427"</f>
        <v>20210427</v>
      </c>
      <c r="B10" s="4" t="str">
        <f>"20210427"</f>
        <v>20210427</v>
      </c>
      <c r="C10" s="4" t="str">
        <f t="shared" ref="C10:C32" si="9">"基金赎回拨入"</f>
        <v>基金赎回拨入</v>
      </c>
      <c r="D10" s="4" t="str">
        <f t="shared" si="6"/>
        <v>AA0007</v>
      </c>
      <c r="E10" s="4" t="str">
        <f t="shared" si="7"/>
        <v>银河水星1号集合</v>
      </c>
      <c r="F10" s="4">
        <v>0</v>
      </c>
      <c r="G10" s="4">
        <v>0</v>
      </c>
      <c r="H10" s="4">
        <v>0</v>
      </c>
      <c r="I10" s="4">
        <v>0.15</v>
      </c>
      <c r="J10" s="4">
        <v>5</v>
      </c>
      <c r="K10" s="4">
        <v>0</v>
      </c>
      <c r="L10" s="4" t="str">
        <f t="shared" si="2"/>
        <v>人民币</v>
      </c>
      <c r="N10" s="4" t="str">
        <f t="shared" si="8"/>
        <v>980149593788</v>
      </c>
      <c r="O10" s="4" t="str">
        <f t="shared" si="4"/>
        <v>300100052893</v>
      </c>
    </row>
    <row r="11" spans="1:15">
      <c r="A11" s="4" t="str">
        <f>"20210428"</f>
        <v>20210428</v>
      </c>
      <c r="B11" s="4" t="str">
        <f>"20210428"</f>
        <v>20210428</v>
      </c>
      <c r="C11" s="4" t="str">
        <f t="shared" si="9"/>
        <v>基金赎回拨入</v>
      </c>
      <c r="D11" s="4" t="str">
        <f t="shared" si="6"/>
        <v>AA0007</v>
      </c>
      <c r="E11" s="4" t="str">
        <f t="shared" si="7"/>
        <v>银河水星1号集合</v>
      </c>
      <c r="F11" s="4">
        <v>0</v>
      </c>
      <c r="G11" s="4">
        <v>0</v>
      </c>
      <c r="H11" s="4">
        <v>0</v>
      </c>
      <c r="I11" s="4">
        <v>0.05</v>
      </c>
      <c r="J11" s="4">
        <v>5</v>
      </c>
      <c r="K11" s="4">
        <v>0</v>
      </c>
      <c r="L11" s="4" t="str">
        <f t="shared" si="2"/>
        <v>人民币</v>
      </c>
      <c r="N11" s="4" t="str">
        <f t="shared" si="8"/>
        <v>980149593788</v>
      </c>
      <c r="O11" s="4" t="str">
        <f t="shared" si="4"/>
        <v>300100052893</v>
      </c>
    </row>
    <row r="12" spans="1:15">
      <c r="A12" s="4" t="str">
        <f>"20210429"</f>
        <v>20210429</v>
      </c>
      <c r="B12" s="4" t="str">
        <f>"20210429"</f>
        <v>20210429</v>
      </c>
      <c r="C12" s="4" t="str">
        <f t="shared" si="9"/>
        <v>基金赎回拨入</v>
      </c>
      <c r="D12" s="4" t="str">
        <f t="shared" si="6"/>
        <v>AA0007</v>
      </c>
      <c r="E12" s="4" t="str">
        <f t="shared" si="7"/>
        <v>银河水星1号集合</v>
      </c>
      <c r="F12" s="4">
        <v>0</v>
      </c>
      <c r="G12" s="4">
        <v>0</v>
      </c>
      <c r="H12" s="4">
        <v>0</v>
      </c>
      <c r="I12" s="4">
        <v>0.05</v>
      </c>
      <c r="J12" s="4">
        <v>5</v>
      </c>
      <c r="K12" s="4">
        <v>0</v>
      </c>
      <c r="L12" s="4" t="str">
        <f t="shared" si="2"/>
        <v>人民币</v>
      </c>
      <c r="N12" s="4" t="str">
        <f t="shared" si="8"/>
        <v>980149593788</v>
      </c>
      <c r="O12" s="4" t="str">
        <f t="shared" si="4"/>
        <v>300100052893</v>
      </c>
    </row>
    <row r="13" spans="1:15">
      <c r="A13" s="4" t="str">
        <f>"20210430"</f>
        <v>20210430</v>
      </c>
      <c r="B13" s="4" t="str">
        <f>"20210430"</f>
        <v>20210430</v>
      </c>
      <c r="C13" s="4" t="str">
        <f t="shared" si="9"/>
        <v>基金赎回拨入</v>
      </c>
      <c r="D13" s="4" t="str">
        <f t="shared" si="6"/>
        <v>AA0007</v>
      </c>
      <c r="E13" s="4" t="str">
        <f t="shared" si="7"/>
        <v>银河水星1号集合</v>
      </c>
      <c r="F13" s="4">
        <v>0</v>
      </c>
      <c r="G13" s="4">
        <v>0</v>
      </c>
      <c r="H13" s="4">
        <v>0</v>
      </c>
      <c r="I13" s="4">
        <v>0.05</v>
      </c>
      <c r="J13" s="4">
        <v>5</v>
      </c>
      <c r="K13" s="4">
        <v>0</v>
      </c>
      <c r="L13" s="4" t="str">
        <f t="shared" si="2"/>
        <v>人民币</v>
      </c>
      <c r="N13" s="4" t="str">
        <f t="shared" si="8"/>
        <v>980149593788</v>
      </c>
      <c r="O13" s="4" t="str">
        <f t="shared" si="4"/>
        <v>300100052893</v>
      </c>
    </row>
    <row r="14" spans="1:15">
      <c r="A14" s="4" t="str">
        <f>"20210506"</f>
        <v>20210506</v>
      </c>
      <c r="B14" s="4" t="str">
        <f>"20210506"</f>
        <v>20210506</v>
      </c>
      <c r="C14" s="4" t="str">
        <f t="shared" si="9"/>
        <v>基金赎回拨入</v>
      </c>
      <c r="D14" s="4" t="str">
        <f t="shared" si="6"/>
        <v>AA0007</v>
      </c>
      <c r="E14" s="4" t="str">
        <f t="shared" si="7"/>
        <v>银河水星1号集合</v>
      </c>
      <c r="F14" s="4">
        <v>0</v>
      </c>
      <c r="G14" s="4">
        <v>0</v>
      </c>
      <c r="H14" s="4">
        <v>0</v>
      </c>
      <c r="I14" s="4">
        <v>0.05</v>
      </c>
      <c r="J14" s="4">
        <v>5</v>
      </c>
      <c r="K14" s="4">
        <v>0</v>
      </c>
      <c r="L14" s="4" t="str">
        <f t="shared" si="2"/>
        <v>人民币</v>
      </c>
      <c r="N14" s="4" t="str">
        <f t="shared" si="8"/>
        <v>980149593788</v>
      </c>
      <c r="O14" s="4" t="str">
        <f t="shared" si="4"/>
        <v>300100052893</v>
      </c>
    </row>
    <row r="15" spans="1:15">
      <c r="A15" s="4" t="str">
        <f>"20210507"</f>
        <v>20210507</v>
      </c>
      <c r="B15" s="4" t="str">
        <f>"20210507"</f>
        <v>20210507</v>
      </c>
      <c r="C15" s="4" t="str">
        <f t="shared" si="9"/>
        <v>基金赎回拨入</v>
      </c>
      <c r="D15" s="4" t="str">
        <f t="shared" si="6"/>
        <v>AA0007</v>
      </c>
      <c r="E15" s="4" t="str">
        <f t="shared" si="7"/>
        <v>银河水星1号集合</v>
      </c>
      <c r="F15" s="4">
        <v>0</v>
      </c>
      <c r="G15" s="4">
        <v>0</v>
      </c>
      <c r="H15" s="4">
        <v>0</v>
      </c>
      <c r="I15" s="4">
        <v>0.3</v>
      </c>
      <c r="J15" s="4">
        <v>5</v>
      </c>
      <c r="K15" s="4">
        <v>0</v>
      </c>
      <c r="L15" s="4" t="str">
        <f t="shared" si="2"/>
        <v>人民币</v>
      </c>
      <c r="N15" s="4" t="str">
        <f t="shared" si="8"/>
        <v>980149593788</v>
      </c>
      <c r="O15" s="4" t="str">
        <f t="shared" si="4"/>
        <v>300100052893</v>
      </c>
    </row>
    <row r="16" spans="1:15">
      <c r="A16" s="4" t="str">
        <f>"20210510"</f>
        <v>20210510</v>
      </c>
      <c r="B16" s="4" t="str">
        <f>"20210510"</f>
        <v>20210510</v>
      </c>
      <c r="C16" s="4" t="str">
        <f t="shared" si="9"/>
        <v>基金赎回拨入</v>
      </c>
      <c r="D16" s="4" t="str">
        <f t="shared" si="6"/>
        <v>AA0007</v>
      </c>
      <c r="E16" s="4" t="str">
        <f t="shared" si="7"/>
        <v>银河水星1号集合</v>
      </c>
      <c r="F16" s="4">
        <v>0</v>
      </c>
      <c r="G16" s="4">
        <v>0</v>
      </c>
      <c r="H16" s="4">
        <v>0</v>
      </c>
      <c r="I16" s="4">
        <v>0.05</v>
      </c>
      <c r="J16" s="4">
        <v>5</v>
      </c>
      <c r="K16" s="4">
        <v>0</v>
      </c>
      <c r="L16" s="4" t="str">
        <f t="shared" si="2"/>
        <v>人民币</v>
      </c>
      <c r="N16" s="4" t="str">
        <f t="shared" si="8"/>
        <v>980149593788</v>
      </c>
      <c r="O16" s="4" t="str">
        <f t="shared" si="4"/>
        <v>300100052893</v>
      </c>
    </row>
    <row r="17" spans="1:15">
      <c r="A17" s="4" t="str">
        <f>"20210511"</f>
        <v>20210511</v>
      </c>
      <c r="B17" s="4" t="str">
        <f>"20210511"</f>
        <v>20210511</v>
      </c>
      <c r="C17" s="4" t="str">
        <f t="shared" si="9"/>
        <v>基金赎回拨入</v>
      </c>
      <c r="D17" s="4" t="str">
        <f t="shared" si="6"/>
        <v>AA0007</v>
      </c>
      <c r="E17" s="4" t="str">
        <f t="shared" si="7"/>
        <v>银河水星1号集合</v>
      </c>
      <c r="F17" s="4">
        <v>0</v>
      </c>
      <c r="G17" s="4">
        <v>0</v>
      </c>
      <c r="H17" s="4">
        <v>0</v>
      </c>
      <c r="I17" s="4">
        <v>0.15</v>
      </c>
      <c r="J17" s="4">
        <v>5</v>
      </c>
      <c r="K17" s="4">
        <v>0</v>
      </c>
      <c r="L17" s="4" t="str">
        <f t="shared" si="2"/>
        <v>人民币</v>
      </c>
      <c r="N17" s="4" t="str">
        <f t="shared" si="8"/>
        <v>980149593788</v>
      </c>
      <c r="O17" s="4" t="str">
        <f t="shared" si="4"/>
        <v>300100052893</v>
      </c>
    </row>
    <row r="18" spans="1:15">
      <c r="A18" s="4" t="str">
        <f>"20210512"</f>
        <v>20210512</v>
      </c>
      <c r="B18" s="4" t="str">
        <f>"20210512"</f>
        <v>20210512</v>
      </c>
      <c r="C18" s="4" t="str">
        <f t="shared" si="9"/>
        <v>基金赎回拨入</v>
      </c>
      <c r="D18" s="4" t="str">
        <f t="shared" si="6"/>
        <v>AA0007</v>
      </c>
      <c r="E18" s="4" t="str">
        <f t="shared" si="7"/>
        <v>银河水星1号集合</v>
      </c>
      <c r="F18" s="4">
        <v>0</v>
      </c>
      <c r="G18" s="4">
        <v>0</v>
      </c>
      <c r="H18" s="4">
        <v>0</v>
      </c>
      <c r="I18" s="4">
        <v>0.05</v>
      </c>
      <c r="J18" s="4">
        <v>5</v>
      </c>
      <c r="K18" s="4">
        <v>0</v>
      </c>
      <c r="L18" s="4" t="str">
        <f t="shared" si="2"/>
        <v>人民币</v>
      </c>
      <c r="N18" s="4" t="str">
        <f t="shared" si="8"/>
        <v>980149593788</v>
      </c>
      <c r="O18" s="4" t="str">
        <f t="shared" si="4"/>
        <v>300100052893</v>
      </c>
    </row>
    <row r="19" spans="1:15">
      <c r="A19" s="4" t="str">
        <f>"20210513"</f>
        <v>20210513</v>
      </c>
      <c r="B19" s="4" t="str">
        <f>"20210513"</f>
        <v>20210513</v>
      </c>
      <c r="C19" s="4" t="str">
        <f t="shared" si="9"/>
        <v>基金赎回拨入</v>
      </c>
      <c r="D19" s="4" t="str">
        <f t="shared" si="6"/>
        <v>AA0007</v>
      </c>
      <c r="E19" s="4" t="str">
        <f t="shared" si="7"/>
        <v>银河水星1号集合</v>
      </c>
      <c r="F19" s="4">
        <v>0</v>
      </c>
      <c r="G19" s="4">
        <v>0</v>
      </c>
      <c r="H19" s="4">
        <v>0</v>
      </c>
      <c r="I19" s="4">
        <v>0.05</v>
      </c>
      <c r="J19" s="4">
        <v>5</v>
      </c>
      <c r="K19" s="4">
        <v>0</v>
      </c>
      <c r="L19" s="4" t="str">
        <f t="shared" si="2"/>
        <v>人民币</v>
      </c>
      <c r="N19" s="4" t="str">
        <f t="shared" si="8"/>
        <v>980149593788</v>
      </c>
      <c r="O19" s="4" t="str">
        <f t="shared" si="4"/>
        <v>300100052893</v>
      </c>
    </row>
    <row r="20" spans="1:15">
      <c r="A20" s="4" t="str">
        <f>"20210514"</f>
        <v>20210514</v>
      </c>
      <c r="B20" s="4" t="str">
        <f>"20210514"</f>
        <v>20210514</v>
      </c>
      <c r="C20" s="4" t="str">
        <f t="shared" si="9"/>
        <v>基金赎回拨入</v>
      </c>
      <c r="D20" s="4" t="str">
        <f t="shared" si="6"/>
        <v>AA0007</v>
      </c>
      <c r="E20" s="4" t="str">
        <f t="shared" si="7"/>
        <v>银河水星1号集合</v>
      </c>
      <c r="F20" s="4">
        <v>0</v>
      </c>
      <c r="G20" s="4">
        <v>0</v>
      </c>
      <c r="H20" s="4">
        <v>0</v>
      </c>
      <c r="I20" s="4">
        <v>0.05</v>
      </c>
      <c r="J20" s="4">
        <v>5</v>
      </c>
      <c r="K20" s="4">
        <v>0</v>
      </c>
      <c r="L20" s="4" t="str">
        <f t="shared" si="2"/>
        <v>人民币</v>
      </c>
      <c r="N20" s="4" t="str">
        <f t="shared" si="8"/>
        <v>980149593788</v>
      </c>
      <c r="O20" s="4" t="str">
        <f t="shared" si="4"/>
        <v>300100052893</v>
      </c>
    </row>
    <row r="21" spans="1:15">
      <c r="A21" s="4" t="str">
        <f>"20210517"</f>
        <v>20210517</v>
      </c>
      <c r="B21" s="4" t="str">
        <f>"20210517"</f>
        <v>20210517</v>
      </c>
      <c r="C21" s="4" t="str">
        <f t="shared" si="9"/>
        <v>基金赎回拨入</v>
      </c>
      <c r="D21" s="4" t="str">
        <f t="shared" si="6"/>
        <v>AA0007</v>
      </c>
      <c r="E21" s="4" t="str">
        <f t="shared" si="7"/>
        <v>银河水星1号集合</v>
      </c>
      <c r="F21" s="4">
        <v>0</v>
      </c>
      <c r="G21" s="4">
        <v>0</v>
      </c>
      <c r="H21" s="4">
        <v>0</v>
      </c>
      <c r="I21" s="4">
        <v>0.05</v>
      </c>
      <c r="J21" s="4">
        <v>5</v>
      </c>
      <c r="K21" s="4">
        <v>0</v>
      </c>
      <c r="L21" s="4" t="str">
        <f t="shared" si="2"/>
        <v>人民币</v>
      </c>
      <c r="N21" s="4" t="str">
        <f t="shared" si="8"/>
        <v>980149593788</v>
      </c>
      <c r="O21" s="4" t="str">
        <f t="shared" si="4"/>
        <v>300100052893</v>
      </c>
    </row>
    <row r="22" spans="1:15">
      <c r="A22" s="4" t="str">
        <f>"20210518"</f>
        <v>20210518</v>
      </c>
      <c r="B22" s="4" t="str">
        <f>"20210518"</f>
        <v>20210518</v>
      </c>
      <c r="C22" s="4" t="str">
        <f t="shared" si="9"/>
        <v>基金赎回拨入</v>
      </c>
      <c r="D22" s="4" t="str">
        <f t="shared" si="6"/>
        <v>AA0007</v>
      </c>
      <c r="E22" s="4" t="str">
        <f t="shared" si="7"/>
        <v>银河水星1号集合</v>
      </c>
      <c r="F22" s="4">
        <v>0</v>
      </c>
      <c r="G22" s="4">
        <v>0</v>
      </c>
      <c r="H22" s="4">
        <v>0</v>
      </c>
      <c r="I22" s="4">
        <v>0.15</v>
      </c>
      <c r="J22" s="4">
        <v>5</v>
      </c>
      <c r="K22" s="4">
        <v>0</v>
      </c>
      <c r="L22" s="4" t="str">
        <f t="shared" si="2"/>
        <v>人民币</v>
      </c>
      <c r="N22" s="4" t="str">
        <f t="shared" si="8"/>
        <v>980149593788</v>
      </c>
      <c r="O22" s="4" t="str">
        <f t="shared" si="4"/>
        <v>300100052893</v>
      </c>
    </row>
    <row r="23" spans="1:15">
      <c r="A23" s="4" t="str">
        <f>"20210519"</f>
        <v>20210519</v>
      </c>
      <c r="B23" s="4" t="str">
        <f>"20210519"</f>
        <v>20210519</v>
      </c>
      <c r="C23" s="4" t="str">
        <f t="shared" si="9"/>
        <v>基金赎回拨入</v>
      </c>
      <c r="D23" s="4" t="str">
        <f t="shared" si="6"/>
        <v>AA0007</v>
      </c>
      <c r="E23" s="4" t="str">
        <f t="shared" si="7"/>
        <v>银河水星1号集合</v>
      </c>
      <c r="F23" s="4">
        <v>0</v>
      </c>
      <c r="G23" s="4">
        <v>0</v>
      </c>
      <c r="H23" s="4">
        <v>0</v>
      </c>
      <c r="I23" s="4">
        <v>0.05</v>
      </c>
      <c r="J23" s="4">
        <v>5</v>
      </c>
      <c r="K23" s="4">
        <v>0</v>
      </c>
      <c r="L23" s="4" t="str">
        <f t="shared" si="2"/>
        <v>人民币</v>
      </c>
      <c r="N23" s="4" t="str">
        <f t="shared" si="8"/>
        <v>980149593788</v>
      </c>
      <c r="O23" s="4" t="str">
        <f t="shared" si="4"/>
        <v>300100052893</v>
      </c>
    </row>
    <row r="24" spans="1:15">
      <c r="A24" s="4" t="str">
        <f>"20210521"</f>
        <v>20210521</v>
      </c>
      <c r="B24" s="4" t="str">
        <f>"20210521"</f>
        <v>20210521</v>
      </c>
      <c r="C24" s="4" t="str">
        <f t="shared" si="9"/>
        <v>基金赎回拨入</v>
      </c>
      <c r="D24" s="4" t="str">
        <f t="shared" si="6"/>
        <v>AA0007</v>
      </c>
      <c r="E24" s="4" t="str">
        <f t="shared" si="7"/>
        <v>银河水星1号集合</v>
      </c>
      <c r="F24" s="4">
        <v>0</v>
      </c>
      <c r="G24" s="4">
        <v>0</v>
      </c>
      <c r="H24" s="4">
        <v>0</v>
      </c>
      <c r="I24" s="4">
        <v>0.1</v>
      </c>
      <c r="J24" s="4">
        <v>5</v>
      </c>
      <c r="K24" s="4">
        <v>0</v>
      </c>
      <c r="L24" s="4" t="str">
        <f t="shared" si="2"/>
        <v>人民币</v>
      </c>
      <c r="N24" s="4" t="str">
        <f t="shared" si="8"/>
        <v>980149593788</v>
      </c>
      <c r="O24" s="4" t="str">
        <f t="shared" si="4"/>
        <v>300100052893</v>
      </c>
    </row>
    <row r="25" spans="1:15">
      <c r="A25" s="4" t="str">
        <f>"20210524"</f>
        <v>20210524</v>
      </c>
      <c r="B25" s="4" t="str">
        <f>"20210524"</f>
        <v>20210524</v>
      </c>
      <c r="C25" s="4" t="str">
        <f t="shared" si="9"/>
        <v>基金赎回拨入</v>
      </c>
      <c r="D25" s="4" t="str">
        <f t="shared" si="6"/>
        <v>AA0007</v>
      </c>
      <c r="E25" s="4" t="str">
        <f t="shared" si="7"/>
        <v>银河水星1号集合</v>
      </c>
      <c r="F25" s="4">
        <v>0</v>
      </c>
      <c r="G25" s="4">
        <v>0</v>
      </c>
      <c r="H25" s="4">
        <v>0</v>
      </c>
      <c r="I25" s="4">
        <v>0.05</v>
      </c>
      <c r="J25" s="4">
        <v>5</v>
      </c>
      <c r="K25" s="4">
        <v>0</v>
      </c>
      <c r="L25" s="4" t="str">
        <f t="shared" si="2"/>
        <v>人民币</v>
      </c>
      <c r="N25" s="4" t="str">
        <f t="shared" si="8"/>
        <v>980149593788</v>
      </c>
      <c r="O25" s="4" t="str">
        <f t="shared" si="4"/>
        <v>300100052893</v>
      </c>
    </row>
    <row r="26" spans="1:15">
      <c r="A26" s="4" t="str">
        <f>"20210525"</f>
        <v>20210525</v>
      </c>
      <c r="B26" s="4" t="str">
        <f>"20210525"</f>
        <v>20210525</v>
      </c>
      <c r="C26" s="4" t="str">
        <f t="shared" si="9"/>
        <v>基金赎回拨入</v>
      </c>
      <c r="D26" s="4" t="str">
        <f t="shared" si="6"/>
        <v>AA0007</v>
      </c>
      <c r="E26" s="4" t="str">
        <f t="shared" si="7"/>
        <v>银河水星1号集合</v>
      </c>
      <c r="F26" s="4">
        <v>0</v>
      </c>
      <c r="G26" s="4">
        <v>0</v>
      </c>
      <c r="H26" s="4">
        <v>0</v>
      </c>
      <c r="I26" s="4">
        <v>0.15</v>
      </c>
      <c r="J26" s="4">
        <v>5</v>
      </c>
      <c r="K26" s="4">
        <v>0</v>
      </c>
      <c r="L26" s="4" t="str">
        <f t="shared" si="2"/>
        <v>人民币</v>
      </c>
      <c r="N26" s="4" t="str">
        <f t="shared" si="8"/>
        <v>980149593788</v>
      </c>
      <c r="O26" s="4" t="str">
        <f t="shared" si="4"/>
        <v>300100052893</v>
      </c>
    </row>
    <row r="27" spans="1:15">
      <c r="A27" s="4" t="str">
        <f>"20210526"</f>
        <v>20210526</v>
      </c>
      <c r="B27" s="4" t="str">
        <f>"20210526"</f>
        <v>20210526</v>
      </c>
      <c r="C27" s="4" t="str">
        <f t="shared" si="9"/>
        <v>基金赎回拨入</v>
      </c>
      <c r="D27" s="4" t="str">
        <f t="shared" si="6"/>
        <v>AA0007</v>
      </c>
      <c r="E27" s="4" t="str">
        <f t="shared" si="7"/>
        <v>银河水星1号集合</v>
      </c>
      <c r="F27" s="4">
        <v>0</v>
      </c>
      <c r="G27" s="4">
        <v>0</v>
      </c>
      <c r="H27" s="4">
        <v>0</v>
      </c>
      <c r="I27" s="4">
        <v>0.05</v>
      </c>
      <c r="J27" s="4">
        <v>5</v>
      </c>
      <c r="K27" s="4">
        <v>0</v>
      </c>
      <c r="L27" s="4" t="str">
        <f t="shared" si="2"/>
        <v>人民币</v>
      </c>
      <c r="N27" s="4" t="str">
        <f t="shared" si="8"/>
        <v>980149593788</v>
      </c>
      <c r="O27" s="4" t="str">
        <f t="shared" si="4"/>
        <v>300100052893</v>
      </c>
    </row>
    <row r="28" spans="1:15">
      <c r="A28" s="4" t="str">
        <f>"20210527"</f>
        <v>20210527</v>
      </c>
      <c r="B28" s="4" t="str">
        <f>"20210527"</f>
        <v>20210527</v>
      </c>
      <c r="C28" s="4" t="str">
        <f t="shared" si="9"/>
        <v>基金赎回拨入</v>
      </c>
      <c r="D28" s="4" t="str">
        <f t="shared" si="6"/>
        <v>AA0007</v>
      </c>
      <c r="E28" s="4" t="str">
        <f t="shared" si="7"/>
        <v>银河水星1号集合</v>
      </c>
      <c r="F28" s="4">
        <v>0</v>
      </c>
      <c r="G28" s="4">
        <v>0</v>
      </c>
      <c r="H28" s="4">
        <v>0</v>
      </c>
      <c r="I28" s="4">
        <v>0.05</v>
      </c>
      <c r="J28" s="4">
        <v>5</v>
      </c>
      <c r="K28" s="4">
        <v>0</v>
      </c>
      <c r="L28" s="4" t="str">
        <f t="shared" si="2"/>
        <v>人民币</v>
      </c>
      <c r="N28" s="4" t="str">
        <f t="shared" si="8"/>
        <v>980149593788</v>
      </c>
      <c r="O28" s="4" t="str">
        <f t="shared" si="4"/>
        <v>300100052893</v>
      </c>
    </row>
    <row r="29" spans="1:15">
      <c r="A29" s="4" t="str">
        <f>"20210528"</f>
        <v>20210528</v>
      </c>
      <c r="B29" s="4" t="str">
        <f>"20210528"</f>
        <v>20210528</v>
      </c>
      <c r="C29" s="4" t="str">
        <f t="shared" si="9"/>
        <v>基金赎回拨入</v>
      </c>
      <c r="D29" s="4" t="str">
        <f t="shared" si="6"/>
        <v>AA0007</v>
      </c>
      <c r="E29" s="4" t="str">
        <f t="shared" si="7"/>
        <v>银河水星1号集合</v>
      </c>
      <c r="F29" s="4">
        <v>0</v>
      </c>
      <c r="G29" s="4">
        <v>0</v>
      </c>
      <c r="H29" s="4">
        <v>0</v>
      </c>
      <c r="I29" s="4">
        <v>0.05</v>
      </c>
      <c r="J29" s="4">
        <v>5</v>
      </c>
      <c r="K29" s="4">
        <v>0</v>
      </c>
      <c r="L29" s="4" t="str">
        <f t="shared" si="2"/>
        <v>人民币</v>
      </c>
      <c r="N29" s="4" t="str">
        <f t="shared" si="8"/>
        <v>980149593788</v>
      </c>
      <c r="O29" s="4" t="str">
        <f t="shared" si="4"/>
        <v>300100052893</v>
      </c>
    </row>
    <row r="30" spans="1:15">
      <c r="A30" s="4" t="str">
        <f>"20210531"</f>
        <v>20210531</v>
      </c>
      <c r="B30" s="4" t="str">
        <f>"20210531"</f>
        <v>20210531</v>
      </c>
      <c r="C30" s="4" t="str">
        <f t="shared" si="9"/>
        <v>基金赎回拨入</v>
      </c>
      <c r="D30" s="4" t="str">
        <f t="shared" si="6"/>
        <v>AA0007</v>
      </c>
      <c r="E30" s="4" t="str">
        <f t="shared" si="7"/>
        <v>银河水星1号集合</v>
      </c>
      <c r="F30" s="4">
        <v>0</v>
      </c>
      <c r="G30" s="4">
        <v>0</v>
      </c>
      <c r="H30" s="4">
        <v>0</v>
      </c>
      <c r="I30" s="4">
        <v>0.05</v>
      </c>
      <c r="J30" s="4">
        <v>5</v>
      </c>
      <c r="K30" s="4">
        <v>0</v>
      </c>
      <c r="L30" s="4" t="str">
        <f t="shared" si="2"/>
        <v>人民币</v>
      </c>
      <c r="N30" s="4" t="str">
        <f t="shared" si="8"/>
        <v>980149593788</v>
      </c>
      <c r="O30" s="4" t="str">
        <f t="shared" si="4"/>
        <v>300100052893</v>
      </c>
    </row>
    <row r="31" spans="1:15">
      <c r="A31" s="4" t="str">
        <f>"20210601"</f>
        <v>20210601</v>
      </c>
      <c r="B31" s="4" t="str">
        <f>"20210601"</f>
        <v>20210601</v>
      </c>
      <c r="C31" s="4" t="str">
        <f t="shared" si="9"/>
        <v>基金赎回拨入</v>
      </c>
      <c r="D31" s="4" t="str">
        <f t="shared" si="6"/>
        <v>AA0007</v>
      </c>
      <c r="E31" s="4" t="str">
        <f t="shared" si="7"/>
        <v>银河水星1号集合</v>
      </c>
      <c r="F31" s="4">
        <v>0</v>
      </c>
      <c r="G31" s="4">
        <v>0</v>
      </c>
      <c r="H31" s="4">
        <v>0</v>
      </c>
      <c r="I31" s="4">
        <v>0.15</v>
      </c>
      <c r="J31" s="4">
        <v>5</v>
      </c>
      <c r="K31" s="4">
        <v>0</v>
      </c>
      <c r="L31" s="4" t="str">
        <f t="shared" si="2"/>
        <v>人民币</v>
      </c>
      <c r="N31" s="4" t="str">
        <f t="shared" si="8"/>
        <v>980149593788</v>
      </c>
      <c r="O31" s="4" t="str">
        <f t="shared" si="4"/>
        <v>300100052893</v>
      </c>
    </row>
    <row r="32" spans="1:15">
      <c r="A32" s="4" t="str">
        <f>"20210602"</f>
        <v>20210602</v>
      </c>
      <c r="B32" s="4" t="str">
        <f>"20210602"</f>
        <v>20210602</v>
      </c>
      <c r="C32" s="4" t="str">
        <f t="shared" si="9"/>
        <v>基金赎回拨入</v>
      </c>
      <c r="D32" s="4" t="str">
        <f t="shared" si="6"/>
        <v>AA0007</v>
      </c>
      <c r="E32" s="4" t="str">
        <f t="shared" si="7"/>
        <v>银河水星1号集合</v>
      </c>
      <c r="F32" s="4">
        <v>0</v>
      </c>
      <c r="G32" s="4">
        <v>16469</v>
      </c>
      <c r="H32" s="4">
        <v>0</v>
      </c>
      <c r="I32" s="4">
        <v>16469.38</v>
      </c>
      <c r="J32" s="4">
        <v>16474.33</v>
      </c>
      <c r="K32" s="4">
        <v>0</v>
      </c>
      <c r="L32" s="4" t="str">
        <f t="shared" si="2"/>
        <v>人民币</v>
      </c>
      <c r="N32" s="4" t="str">
        <f t="shared" si="8"/>
        <v>980149593788</v>
      </c>
      <c r="O32" s="4" t="str">
        <f t="shared" si="4"/>
        <v>300100052893</v>
      </c>
    </row>
    <row r="33" spans="1:15">
      <c r="A33" s="4" t="str">
        <f>"20210602"</f>
        <v>20210602</v>
      </c>
      <c r="B33" s="4" t="str">
        <f>"20210602"</f>
        <v>20210602</v>
      </c>
      <c r="C33" s="4" t="str">
        <f>"证券买入"</f>
        <v>证券买入</v>
      </c>
      <c r="D33" s="4" t="str">
        <f>"600722"</f>
        <v>600722</v>
      </c>
      <c r="E33" s="4" t="str">
        <f>"金牛化工"</f>
        <v>金牛化工</v>
      </c>
      <c r="F33" s="4">
        <v>6.86</v>
      </c>
      <c r="G33" s="4">
        <v>2400</v>
      </c>
      <c r="H33" s="4">
        <v>16464</v>
      </c>
      <c r="I33" s="4">
        <v>-16469.33</v>
      </c>
      <c r="J33" s="4">
        <v>5</v>
      </c>
      <c r="K33" s="4">
        <v>2400</v>
      </c>
      <c r="L33" s="4" t="str">
        <f t="shared" si="2"/>
        <v>人民币</v>
      </c>
      <c r="M33" s="4" t="str">
        <f>"0136001505"</f>
        <v>0136001505</v>
      </c>
      <c r="N33" s="4" t="str">
        <f>"A368402599"</f>
        <v>A368402599</v>
      </c>
      <c r="O33" s="4" t="str">
        <f t="shared" si="4"/>
        <v>300100052893</v>
      </c>
    </row>
    <row r="34" spans="1:15">
      <c r="A34" s="4" t="str">
        <f>"20210603"</f>
        <v>20210603</v>
      </c>
      <c r="B34" s="4" t="str">
        <f>"20210603"</f>
        <v>20210603</v>
      </c>
      <c r="C34" s="4" t="str">
        <f>"基金申购拨出"</f>
        <v>基金申购拨出</v>
      </c>
      <c r="D34" s="4" t="str">
        <f t="shared" ref="D34:D42" si="10">"AA0007"</f>
        <v>AA0007</v>
      </c>
      <c r="E34" s="4" t="str">
        <f t="shared" ref="E34:E42" si="11">"银河水星1号集合"</f>
        <v>银河水星1号集合</v>
      </c>
      <c r="F34" s="4">
        <v>0</v>
      </c>
      <c r="G34" s="4">
        <v>0</v>
      </c>
      <c r="H34" s="4">
        <v>0</v>
      </c>
      <c r="I34" s="4">
        <v>-17113.47</v>
      </c>
      <c r="J34" s="4">
        <v>-17108.52</v>
      </c>
      <c r="K34" s="4">
        <v>0</v>
      </c>
      <c r="L34" s="4" t="str">
        <f t="shared" si="2"/>
        <v>人民币</v>
      </c>
      <c r="N34" s="4" t="str">
        <f t="shared" ref="N34:N42" si="12">"980149593788"</f>
        <v>980149593788</v>
      </c>
      <c r="O34" s="4" t="str">
        <f t="shared" si="4"/>
        <v>300100052893</v>
      </c>
    </row>
    <row r="35" spans="1:15">
      <c r="A35" s="4" t="str">
        <f>"20210603"</f>
        <v>20210603</v>
      </c>
      <c r="B35" s="4" t="str">
        <f>"20210603"</f>
        <v>20210603</v>
      </c>
      <c r="C35" s="4" t="str">
        <f>"证券卖出"</f>
        <v>证券卖出</v>
      </c>
      <c r="D35" s="4" t="str">
        <f>"600722"</f>
        <v>600722</v>
      </c>
      <c r="E35" s="4" t="str">
        <f>"金牛化工"</f>
        <v>金牛化工</v>
      </c>
      <c r="F35" s="4">
        <v>7.14</v>
      </c>
      <c r="G35" s="4">
        <v>2400</v>
      </c>
      <c r="H35" s="4">
        <v>17136</v>
      </c>
      <c r="I35" s="4">
        <v>17113.52</v>
      </c>
      <c r="J35" s="4">
        <v>5</v>
      </c>
      <c r="K35" s="4">
        <v>0</v>
      </c>
      <c r="L35" s="4" t="str">
        <f t="shared" si="2"/>
        <v>人民币</v>
      </c>
      <c r="M35" s="4" t="str">
        <f>"0136011623"</f>
        <v>0136011623</v>
      </c>
      <c r="N35" s="4" t="str">
        <f>"A368402599"</f>
        <v>A368402599</v>
      </c>
      <c r="O35" s="4" t="str">
        <f t="shared" si="4"/>
        <v>300100052893</v>
      </c>
    </row>
    <row r="36" spans="1:15">
      <c r="A36" s="4" t="str">
        <f>"20210604"</f>
        <v>20210604</v>
      </c>
      <c r="B36" s="4" t="str">
        <f>"20210604"</f>
        <v>20210604</v>
      </c>
      <c r="C36" s="4" t="str">
        <f t="shared" ref="C36:C42" si="13">"基金赎回拨入"</f>
        <v>基金赎回拨入</v>
      </c>
      <c r="D36" s="4" t="str">
        <f t="shared" si="10"/>
        <v>AA0007</v>
      </c>
      <c r="E36" s="4" t="str">
        <f t="shared" si="11"/>
        <v>银河水星1号集合</v>
      </c>
      <c r="F36" s="4">
        <v>0</v>
      </c>
      <c r="G36" s="4">
        <v>0</v>
      </c>
      <c r="H36" s="4">
        <v>0</v>
      </c>
      <c r="I36" s="4">
        <v>0.05</v>
      </c>
      <c r="J36" s="4">
        <v>5</v>
      </c>
      <c r="K36" s="4">
        <v>0</v>
      </c>
      <c r="L36" s="4" t="str">
        <f t="shared" si="2"/>
        <v>人民币</v>
      </c>
      <c r="N36" s="4" t="str">
        <f t="shared" si="12"/>
        <v>980149593788</v>
      </c>
      <c r="O36" s="4" t="str">
        <f t="shared" si="4"/>
        <v>300100052893</v>
      </c>
    </row>
    <row r="37" spans="1:15">
      <c r="A37" s="4" t="str">
        <f>"20210607"</f>
        <v>20210607</v>
      </c>
      <c r="B37" s="4" t="str">
        <f>"20210607"</f>
        <v>20210607</v>
      </c>
      <c r="C37" s="4" t="str">
        <f t="shared" si="13"/>
        <v>基金赎回拨入</v>
      </c>
      <c r="D37" s="4" t="str">
        <f t="shared" si="10"/>
        <v>AA0007</v>
      </c>
      <c r="E37" s="4" t="str">
        <f t="shared" si="11"/>
        <v>银河水星1号集合</v>
      </c>
      <c r="F37" s="4">
        <v>0</v>
      </c>
      <c r="G37" s="4">
        <v>0</v>
      </c>
      <c r="H37" s="4">
        <v>0</v>
      </c>
      <c r="I37" s="4">
        <v>0.05</v>
      </c>
      <c r="J37" s="4">
        <v>5</v>
      </c>
      <c r="K37" s="4">
        <v>0</v>
      </c>
      <c r="L37" s="4" t="str">
        <f t="shared" si="2"/>
        <v>人民币</v>
      </c>
      <c r="N37" s="4" t="str">
        <f t="shared" si="12"/>
        <v>980149593788</v>
      </c>
      <c r="O37" s="4" t="str">
        <f t="shared" si="4"/>
        <v>300100052893</v>
      </c>
    </row>
    <row r="38" spans="1:15">
      <c r="A38" s="4" t="str">
        <f>"20210608"</f>
        <v>20210608</v>
      </c>
      <c r="B38" s="4" t="str">
        <f>"20210608"</f>
        <v>20210608</v>
      </c>
      <c r="C38" s="4" t="str">
        <f t="shared" si="13"/>
        <v>基金赎回拨入</v>
      </c>
      <c r="D38" s="4" t="str">
        <f t="shared" si="10"/>
        <v>AA0007</v>
      </c>
      <c r="E38" s="4" t="str">
        <f t="shared" si="11"/>
        <v>银河水星1号集合</v>
      </c>
      <c r="F38" s="4">
        <v>0</v>
      </c>
      <c r="G38" s="4">
        <v>0</v>
      </c>
      <c r="H38" s="4">
        <v>0</v>
      </c>
      <c r="I38" s="4">
        <v>0.15</v>
      </c>
      <c r="J38" s="4">
        <v>5</v>
      </c>
      <c r="K38" s="4">
        <v>0</v>
      </c>
      <c r="L38" s="4" t="str">
        <f t="shared" si="2"/>
        <v>人民币</v>
      </c>
      <c r="N38" s="4" t="str">
        <f t="shared" si="12"/>
        <v>980149593788</v>
      </c>
      <c r="O38" s="4" t="str">
        <f t="shared" si="4"/>
        <v>300100052893</v>
      </c>
    </row>
    <row r="39" spans="1:15">
      <c r="A39" s="4" t="str">
        <f>"20210609"</f>
        <v>20210609</v>
      </c>
      <c r="B39" s="4" t="str">
        <f>"20210609"</f>
        <v>20210609</v>
      </c>
      <c r="C39" s="4" t="str">
        <f t="shared" si="13"/>
        <v>基金赎回拨入</v>
      </c>
      <c r="D39" s="4" t="str">
        <f t="shared" si="10"/>
        <v>AA0007</v>
      </c>
      <c r="E39" s="4" t="str">
        <f t="shared" si="11"/>
        <v>银河水星1号集合</v>
      </c>
      <c r="F39" s="4">
        <v>0</v>
      </c>
      <c r="G39" s="4">
        <v>0</v>
      </c>
      <c r="H39" s="4">
        <v>0</v>
      </c>
      <c r="I39" s="4">
        <v>0.05</v>
      </c>
      <c r="J39" s="4">
        <v>5</v>
      </c>
      <c r="K39" s="4">
        <v>0</v>
      </c>
      <c r="L39" s="4" t="str">
        <f t="shared" si="2"/>
        <v>人民币</v>
      </c>
      <c r="N39" s="4" t="str">
        <f t="shared" si="12"/>
        <v>980149593788</v>
      </c>
      <c r="O39" s="4" t="str">
        <f t="shared" si="4"/>
        <v>300100052893</v>
      </c>
    </row>
    <row r="40" spans="1:15">
      <c r="A40" s="4" t="str">
        <f>"20210610"</f>
        <v>20210610</v>
      </c>
      <c r="B40" s="4" t="str">
        <f>"20210610"</f>
        <v>20210610</v>
      </c>
      <c r="C40" s="4" t="str">
        <f t="shared" si="13"/>
        <v>基金赎回拨入</v>
      </c>
      <c r="D40" s="4" t="str">
        <f t="shared" si="10"/>
        <v>AA0007</v>
      </c>
      <c r="E40" s="4" t="str">
        <f t="shared" si="11"/>
        <v>银河水星1号集合</v>
      </c>
      <c r="F40" s="4">
        <v>0</v>
      </c>
      <c r="G40" s="4">
        <v>0</v>
      </c>
      <c r="H40" s="4">
        <v>0</v>
      </c>
      <c r="I40" s="4">
        <v>0.05</v>
      </c>
      <c r="J40" s="4">
        <v>5</v>
      </c>
      <c r="K40" s="4">
        <v>0</v>
      </c>
      <c r="L40" s="4" t="str">
        <f t="shared" si="2"/>
        <v>人民币</v>
      </c>
      <c r="N40" s="4" t="str">
        <f t="shared" si="12"/>
        <v>980149593788</v>
      </c>
      <c r="O40" s="4" t="str">
        <f t="shared" si="4"/>
        <v>300100052893</v>
      </c>
    </row>
    <row r="41" spans="1:15">
      <c r="A41" s="4" t="str">
        <f>"20210611"</f>
        <v>20210611</v>
      </c>
      <c r="B41" s="4" t="str">
        <f>"20210611"</f>
        <v>20210611</v>
      </c>
      <c r="C41" s="4" t="str">
        <f t="shared" si="13"/>
        <v>基金赎回拨入</v>
      </c>
      <c r="D41" s="4" t="str">
        <f t="shared" si="10"/>
        <v>AA0007</v>
      </c>
      <c r="E41" s="4" t="str">
        <f t="shared" si="11"/>
        <v>银河水星1号集合</v>
      </c>
      <c r="F41" s="4">
        <v>0</v>
      </c>
      <c r="G41" s="4">
        <v>0</v>
      </c>
      <c r="H41" s="4">
        <v>0</v>
      </c>
      <c r="I41" s="4">
        <v>0.05</v>
      </c>
      <c r="J41" s="4">
        <v>5</v>
      </c>
      <c r="K41" s="4">
        <v>0</v>
      </c>
      <c r="L41" s="4" t="str">
        <f t="shared" si="2"/>
        <v>人民币</v>
      </c>
      <c r="N41" s="4" t="str">
        <f t="shared" si="12"/>
        <v>980149593788</v>
      </c>
      <c r="O41" s="4" t="str">
        <f t="shared" si="4"/>
        <v>300100052893</v>
      </c>
    </row>
    <row r="42" spans="1:15">
      <c r="A42" s="4" t="str">
        <f>"20210615"</f>
        <v>20210615</v>
      </c>
      <c r="B42" s="4" t="str">
        <f>"20210615"</f>
        <v>20210615</v>
      </c>
      <c r="C42" s="4" t="str">
        <f t="shared" si="13"/>
        <v>基金赎回拨入</v>
      </c>
      <c r="D42" s="4" t="str">
        <f t="shared" si="10"/>
        <v>AA0007</v>
      </c>
      <c r="E42" s="4" t="str">
        <f t="shared" si="11"/>
        <v>银河水星1号集合</v>
      </c>
      <c r="F42" s="4">
        <v>0</v>
      </c>
      <c r="G42" s="4">
        <v>13725</v>
      </c>
      <c r="H42" s="4">
        <v>0</v>
      </c>
      <c r="I42" s="4">
        <v>13725.05</v>
      </c>
      <c r="J42" s="4">
        <v>13730</v>
      </c>
      <c r="K42" s="4">
        <v>0</v>
      </c>
      <c r="L42" s="4" t="str">
        <f t="shared" si="2"/>
        <v>人民币</v>
      </c>
      <c r="N42" s="4" t="str">
        <f t="shared" si="12"/>
        <v>980149593788</v>
      </c>
      <c r="O42" s="4" t="str">
        <f t="shared" si="4"/>
        <v>300100052893</v>
      </c>
    </row>
    <row r="43" spans="1:15">
      <c r="A43" s="4" t="str">
        <f>"20210615"</f>
        <v>20210615</v>
      </c>
      <c r="B43" s="4" t="str">
        <f>"20210615"</f>
        <v>20210615</v>
      </c>
      <c r="C43" s="4" t="str">
        <f>"证券买入"</f>
        <v>证券买入</v>
      </c>
      <c r="D43" s="4" t="str">
        <f>"002484"</f>
        <v>002484</v>
      </c>
      <c r="E43" s="4" t="str">
        <f>"江海股份"</f>
        <v>江海股份</v>
      </c>
      <c r="F43" s="4">
        <v>13.72</v>
      </c>
      <c r="G43" s="4">
        <v>1000</v>
      </c>
      <c r="H43" s="4">
        <v>13720</v>
      </c>
      <c r="I43" s="4">
        <v>-13725</v>
      </c>
      <c r="J43" s="4">
        <v>5</v>
      </c>
      <c r="K43" s="4">
        <v>1000</v>
      </c>
      <c r="L43" s="4" t="str">
        <f t="shared" si="2"/>
        <v>人民币</v>
      </c>
      <c r="M43" s="4" t="str">
        <f>"T4008296"</f>
        <v>T4008296</v>
      </c>
      <c r="N43" s="4" t="str">
        <f>"0149593788"</f>
        <v>0149593788</v>
      </c>
      <c r="O43" s="4" t="str">
        <f t="shared" si="4"/>
        <v>300100052893</v>
      </c>
    </row>
    <row r="44" spans="1:15">
      <c r="A44" s="4" t="str">
        <f>"20210616"</f>
        <v>20210616</v>
      </c>
      <c r="B44" s="4" t="str">
        <f>"20210616"</f>
        <v>20210616</v>
      </c>
      <c r="C44" s="4" t="str">
        <f t="shared" ref="C44:C47" si="14">"基金赎回拨入"</f>
        <v>基金赎回拨入</v>
      </c>
      <c r="D44" s="4" t="str">
        <f t="shared" ref="D44:D48" si="15">"AA0007"</f>
        <v>AA0007</v>
      </c>
      <c r="E44" s="4" t="str">
        <f t="shared" ref="E44:E48" si="16">"银河水星1号集合"</f>
        <v>银河水星1号集合</v>
      </c>
      <c r="F44" s="4">
        <v>0</v>
      </c>
      <c r="G44" s="4">
        <v>0</v>
      </c>
      <c r="H44" s="4">
        <v>0</v>
      </c>
      <c r="I44" s="4">
        <v>0.2</v>
      </c>
      <c r="J44" s="4">
        <v>5</v>
      </c>
      <c r="K44" s="4">
        <v>0</v>
      </c>
      <c r="L44" s="4" t="str">
        <f t="shared" si="2"/>
        <v>人民币</v>
      </c>
      <c r="N44" s="4" t="str">
        <f t="shared" ref="N44:N48" si="17">"980149593788"</f>
        <v>980149593788</v>
      </c>
      <c r="O44" s="4" t="str">
        <f t="shared" si="4"/>
        <v>300100052893</v>
      </c>
    </row>
    <row r="45" spans="1:15">
      <c r="A45" s="4" t="str">
        <f>"20210617"</f>
        <v>20210617</v>
      </c>
      <c r="B45" s="4" t="str">
        <f>"20210617"</f>
        <v>20210617</v>
      </c>
      <c r="C45" s="4" t="str">
        <f t="shared" si="14"/>
        <v>基金赎回拨入</v>
      </c>
      <c r="D45" s="4" t="str">
        <f t="shared" si="15"/>
        <v>AA0007</v>
      </c>
      <c r="E45" s="4" t="str">
        <f t="shared" si="16"/>
        <v>银河水星1号集合</v>
      </c>
      <c r="F45" s="4">
        <v>0</v>
      </c>
      <c r="G45" s="4">
        <v>0</v>
      </c>
      <c r="H45" s="4">
        <v>0</v>
      </c>
      <c r="I45" s="4">
        <v>0.05</v>
      </c>
      <c r="J45" s="4">
        <v>5</v>
      </c>
      <c r="K45" s="4">
        <v>0</v>
      </c>
      <c r="L45" s="4" t="str">
        <f t="shared" si="2"/>
        <v>人民币</v>
      </c>
      <c r="N45" s="4" t="str">
        <f t="shared" si="17"/>
        <v>980149593788</v>
      </c>
      <c r="O45" s="4" t="str">
        <f t="shared" si="4"/>
        <v>300100052893</v>
      </c>
    </row>
    <row r="46" spans="1:15">
      <c r="A46" s="4" t="str">
        <f>"20210618"</f>
        <v>20210618</v>
      </c>
      <c r="B46" s="4" t="str">
        <f>"20210618"</f>
        <v>20210618</v>
      </c>
      <c r="C46" s="4" t="str">
        <f>"利息归本"</f>
        <v>利息归本</v>
      </c>
      <c r="F46" s="4">
        <v>0</v>
      </c>
      <c r="G46" s="4">
        <v>0</v>
      </c>
      <c r="H46" s="4">
        <v>0</v>
      </c>
      <c r="I46" s="4">
        <v>0.73</v>
      </c>
      <c r="J46" s="4">
        <v>5.68</v>
      </c>
      <c r="K46" s="4">
        <v>0</v>
      </c>
      <c r="L46" s="4" t="str">
        <f t="shared" si="2"/>
        <v>人民币</v>
      </c>
      <c r="O46" s="4" t="str">
        <f t="shared" si="4"/>
        <v>300100052893</v>
      </c>
    </row>
    <row r="47" spans="1:15">
      <c r="A47" s="4" t="str">
        <f>"20210618"</f>
        <v>20210618</v>
      </c>
      <c r="B47" s="4" t="str">
        <f>"20210618"</f>
        <v>20210618</v>
      </c>
      <c r="C47" s="4" t="str">
        <f t="shared" si="14"/>
        <v>基金赎回拨入</v>
      </c>
      <c r="D47" s="4" t="str">
        <f t="shared" si="15"/>
        <v>AA0007</v>
      </c>
      <c r="E47" s="4" t="str">
        <f t="shared" si="16"/>
        <v>银河水星1号集合</v>
      </c>
      <c r="F47" s="4">
        <v>0</v>
      </c>
      <c r="G47" s="4">
        <v>0</v>
      </c>
      <c r="H47" s="4">
        <v>0</v>
      </c>
      <c r="I47" s="4">
        <v>0.05</v>
      </c>
      <c r="J47" s="4">
        <v>5.73</v>
      </c>
      <c r="K47" s="4">
        <v>0</v>
      </c>
      <c r="L47" s="4" t="str">
        <f t="shared" si="2"/>
        <v>人民币</v>
      </c>
      <c r="N47" s="4" t="str">
        <f t="shared" si="17"/>
        <v>980149593788</v>
      </c>
      <c r="O47" s="4" t="str">
        <f t="shared" si="4"/>
        <v>300100052893</v>
      </c>
    </row>
    <row r="48" spans="1:15">
      <c r="A48" s="4" t="str">
        <f>"20210621"</f>
        <v>20210621</v>
      </c>
      <c r="B48" s="4" t="str">
        <f>"20210621"</f>
        <v>20210621</v>
      </c>
      <c r="C48" s="4" t="str">
        <f>"基金申购拨出"</f>
        <v>基金申购拨出</v>
      </c>
      <c r="D48" s="4" t="str">
        <f t="shared" si="15"/>
        <v>AA0007</v>
      </c>
      <c r="E48" s="4" t="str">
        <f t="shared" si="16"/>
        <v>银河水星1号集合</v>
      </c>
      <c r="F48" s="4">
        <v>0</v>
      </c>
      <c r="G48" s="4">
        <v>0</v>
      </c>
      <c r="H48" s="4">
        <v>0</v>
      </c>
      <c r="I48" s="4">
        <v>-14181.48</v>
      </c>
      <c r="J48" s="4">
        <v>-14175.8</v>
      </c>
      <c r="K48" s="4">
        <v>0</v>
      </c>
      <c r="L48" s="4" t="str">
        <f t="shared" si="2"/>
        <v>人民币</v>
      </c>
      <c r="N48" s="4" t="str">
        <f t="shared" si="17"/>
        <v>980149593788</v>
      </c>
      <c r="O48" s="4" t="str">
        <f t="shared" si="4"/>
        <v>300100052893</v>
      </c>
    </row>
    <row r="49" spans="1:15">
      <c r="A49" s="4" t="str">
        <f>"20210621"</f>
        <v>20210621</v>
      </c>
      <c r="B49" s="4" t="str">
        <f>"20210621"</f>
        <v>20210621</v>
      </c>
      <c r="C49" s="4" t="str">
        <f>"证券卖出"</f>
        <v>证券卖出</v>
      </c>
      <c r="D49" s="4" t="str">
        <f>"002484"</f>
        <v>002484</v>
      </c>
      <c r="E49" s="4" t="str">
        <f>"江海股份"</f>
        <v>江海股份</v>
      </c>
      <c r="F49" s="4">
        <v>14.2</v>
      </c>
      <c r="G49" s="4">
        <v>1000</v>
      </c>
      <c r="H49" s="4">
        <v>14200</v>
      </c>
      <c r="I49" s="4">
        <v>14180.8</v>
      </c>
      <c r="J49" s="4">
        <v>5</v>
      </c>
      <c r="K49" s="4">
        <v>0</v>
      </c>
      <c r="L49" s="4" t="str">
        <f t="shared" si="2"/>
        <v>人民币</v>
      </c>
      <c r="M49" s="4" t="str">
        <f>"T4015654"</f>
        <v>T4015654</v>
      </c>
      <c r="N49" s="4" t="str">
        <f>"0149593788"</f>
        <v>0149593788</v>
      </c>
      <c r="O49" s="4" t="str">
        <f t="shared" si="4"/>
        <v>300100052893</v>
      </c>
    </row>
    <row r="50" spans="1:15">
      <c r="A50" s="4" t="str">
        <f>"20210622"</f>
        <v>20210622</v>
      </c>
      <c r="B50" s="4" t="str">
        <f>"20210622"</f>
        <v>20210622</v>
      </c>
      <c r="C50" s="4" t="str">
        <f>"基金赎回拨入"</f>
        <v>基金赎回拨入</v>
      </c>
      <c r="D50" s="4" t="str">
        <f t="shared" ref="D50:D52" si="18">"AA0007"</f>
        <v>AA0007</v>
      </c>
      <c r="E50" s="4" t="str">
        <f t="shared" ref="E50:E54" si="19">"银河水星1号集合"</f>
        <v>银河水星1号集合</v>
      </c>
      <c r="F50" s="4">
        <v>0</v>
      </c>
      <c r="G50" s="4">
        <v>0</v>
      </c>
      <c r="H50" s="4">
        <v>0</v>
      </c>
      <c r="I50" s="4">
        <v>0.15</v>
      </c>
      <c r="J50" s="4">
        <v>5</v>
      </c>
      <c r="K50" s="4">
        <v>0</v>
      </c>
      <c r="L50" s="4" t="str">
        <f t="shared" si="2"/>
        <v>人民币</v>
      </c>
      <c r="N50" s="4" t="str">
        <f t="shared" ref="N50:N52" si="20">"980149593788"</f>
        <v>980149593788</v>
      </c>
      <c r="O50" s="4" t="str">
        <f t="shared" si="4"/>
        <v>300100052893</v>
      </c>
    </row>
    <row r="51" spans="1:15">
      <c r="A51" s="4" t="str">
        <f>"20210622"</f>
        <v>20210622</v>
      </c>
      <c r="B51" s="4" t="str">
        <f>"0"</f>
        <v>0</v>
      </c>
      <c r="C51" s="4" t="str">
        <f>"基金红利拨入"</f>
        <v>基金红利拨入</v>
      </c>
      <c r="D51" s="4" t="str">
        <f t="shared" si="18"/>
        <v>AA0007</v>
      </c>
      <c r="E51" s="4" t="str">
        <f>"银河水星1号"</f>
        <v>银河水星1号</v>
      </c>
      <c r="F51" s="4">
        <v>0</v>
      </c>
      <c r="G51" s="4">
        <v>0</v>
      </c>
      <c r="H51" s="4">
        <v>136.58</v>
      </c>
      <c r="I51" s="4">
        <v>136.58</v>
      </c>
      <c r="J51" s="4">
        <v>141.58</v>
      </c>
      <c r="K51" s="4">
        <v>0</v>
      </c>
      <c r="L51" s="4" t="str">
        <f t="shared" si="2"/>
        <v>人民币</v>
      </c>
      <c r="N51" s="4" t="str">
        <f t="shared" si="20"/>
        <v>980149593788</v>
      </c>
      <c r="O51" s="4" t="str">
        <f t="shared" si="4"/>
        <v>300100052893</v>
      </c>
    </row>
    <row r="52" spans="1:15">
      <c r="A52" s="4" t="str">
        <f>"20210623"</f>
        <v>20210623</v>
      </c>
      <c r="B52" s="4" t="str">
        <f>"20210623"</f>
        <v>20210623</v>
      </c>
      <c r="C52" s="4" t="str">
        <f t="shared" ref="C52:C58" si="21">"基金赎回拨入"</f>
        <v>基金赎回拨入</v>
      </c>
      <c r="D52" s="4" t="str">
        <f t="shared" si="18"/>
        <v>AA0007</v>
      </c>
      <c r="E52" s="4" t="str">
        <f t="shared" si="19"/>
        <v>银河水星1号集合</v>
      </c>
      <c r="F52" s="4">
        <v>0</v>
      </c>
      <c r="G52" s="4">
        <v>12628</v>
      </c>
      <c r="H52" s="4">
        <v>0</v>
      </c>
      <c r="I52" s="4">
        <v>12628.47</v>
      </c>
      <c r="J52" s="4">
        <v>12770</v>
      </c>
      <c r="K52" s="4">
        <v>0</v>
      </c>
      <c r="L52" s="4" t="str">
        <f t="shared" si="2"/>
        <v>人民币</v>
      </c>
      <c r="N52" s="4" t="str">
        <f t="shared" si="20"/>
        <v>980149593788</v>
      </c>
      <c r="O52" s="4" t="str">
        <f t="shared" si="4"/>
        <v>300100052893</v>
      </c>
    </row>
    <row r="53" spans="1:15">
      <c r="A53" s="4" t="str">
        <f>"20210623"</f>
        <v>20210623</v>
      </c>
      <c r="B53" s="4" t="str">
        <f>"20210623"</f>
        <v>20210623</v>
      </c>
      <c r="C53" s="4" t="str">
        <f>"证券买入"</f>
        <v>证券买入</v>
      </c>
      <c r="D53" s="4" t="str">
        <f>"003016"</f>
        <v>003016</v>
      </c>
      <c r="E53" s="4" t="str">
        <f>"欣贺股份"</f>
        <v>欣贺股份</v>
      </c>
      <c r="F53" s="4">
        <v>12.76</v>
      </c>
      <c r="G53" s="4">
        <v>1000</v>
      </c>
      <c r="H53" s="4">
        <v>12760</v>
      </c>
      <c r="I53" s="4">
        <v>-12765</v>
      </c>
      <c r="J53" s="4">
        <v>5</v>
      </c>
      <c r="K53" s="4">
        <v>1000</v>
      </c>
      <c r="L53" s="4" t="str">
        <f t="shared" si="2"/>
        <v>人民币</v>
      </c>
      <c r="M53" s="4" t="str">
        <f>"T4002099"</f>
        <v>T4002099</v>
      </c>
      <c r="N53" s="4" t="str">
        <f>"0149593788"</f>
        <v>0149593788</v>
      </c>
      <c r="O53" s="4" t="str">
        <f t="shared" si="4"/>
        <v>300100052893</v>
      </c>
    </row>
    <row r="54" spans="1:15">
      <c r="A54" s="4" t="str">
        <f>"20210624"</f>
        <v>20210624</v>
      </c>
      <c r="B54" s="4" t="str">
        <f>"20210624"</f>
        <v>20210624</v>
      </c>
      <c r="C54" s="4" t="str">
        <f>"基金申购拨出"</f>
        <v>基金申购拨出</v>
      </c>
      <c r="D54" s="4" t="str">
        <f t="shared" ref="D54:D59" si="22">"AA0007"</f>
        <v>AA0007</v>
      </c>
      <c r="E54" s="4" t="str">
        <f t="shared" si="19"/>
        <v>银河水星1号集合</v>
      </c>
      <c r="F54" s="4">
        <v>0</v>
      </c>
      <c r="G54" s="4">
        <v>0</v>
      </c>
      <c r="H54" s="4">
        <v>0</v>
      </c>
      <c r="I54" s="4">
        <v>-14100.83</v>
      </c>
      <c r="J54" s="4">
        <v>-14095.88</v>
      </c>
      <c r="K54" s="4">
        <v>0</v>
      </c>
      <c r="L54" s="4" t="str">
        <f t="shared" si="2"/>
        <v>人民币</v>
      </c>
      <c r="N54" s="4" t="str">
        <f t="shared" ref="N54:N59" si="23">"980149593788"</f>
        <v>980149593788</v>
      </c>
      <c r="O54" s="4" t="str">
        <f t="shared" si="4"/>
        <v>300100052893</v>
      </c>
    </row>
    <row r="55" spans="1:15">
      <c r="A55" s="4" t="str">
        <f>"20210624"</f>
        <v>20210624</v>
      </c>
      <c r="B55" s="4" t="str">
        <f>"20210624"</f>
        <v>20210624</v>
      </c>
      <c r="C55" s="4" t="str">
        <f>"证券卖出"</f>
        <v>证券卖出</v>
      </c>
      <c r="D55" s="4" t="str">
        <f>"003016"</f>
        <v>003016</v>
      </c>
      <c r="E55" s="4" t="str">
        <f>"欣贺股份"</f>
        <v>欣贺股份</v>
      </c>
      <c r="F55" s="4">
        <v>14.12</v>
      </c>
      <c r="G55" s="4">
        <v>1000</v>
      </c>
      <c r="H55" s="4">
        <v>14120</v>
      </c>
      <c r="I55" s="4">
        <v>14100.88</v>
      </c>
      <c r="J55" s="4">
        <v>5</v>
      </c>
      <c r="K55" s="4">
        <v>0</v>
      </c>
      <c r="L55" s="4" t="str">
        <f t="shared" si="2"/>
        <v>人民币</v>
      </c>
      <c r="M55" s="4" t="str">
        <f>"T4015872"</f>
        <v>T4015872</v>
      </c>
      <c r="N55" s="4" t="str">
        <f>"0149593788"</f>
        <v>0149593788</v>
      </c>
      <c r="O55" s="4" t="str">
        <f t="shared" si="4"/>
        <v>300100052893</v>
      </c>
    </row>
    <row r="56" spans="1:15">
      <c r="A56" s="4" t="str">
        <f>"20210625"</f>
        <v>20210625</v>
      </c>
      <c r="B56" s="4" t="str">
        <f>"20210625"</f>
        <v>20210625</v>
      </c>
      <c r="C56" s="4" t="str">
        <f t="shared" si="21"/>
        <v>基金赎回拨入</v>
      </c>
      <c r="D56" s="4" t="str">
        <f t="shared" si="22"/>
        <v>AA0007</v>
      </c>
      <c r="E56" s="4" t="str">
        <f t="shared" ref="E56:E59" si="24">"银河水星1号集合"</f>
        <v>银河水星1号集合</v>
      </c>
      <c r="F56" s="4">
        <v>0</v>
      </c>
      <c r="G56" s="4">
        <v>0</v>
      </c>
      <c r="H56" s="4">
        <v>0</v>
      </c>
      <c r="I56" s="4">
        <v>0.05</v>
      </c>
      <c r="J56" s="4">
        <v>5</v>
      </c>
      <c r="K56" s="4">
        <v>0</v>
      </c>
      <c r="L56" s="4" t="str">
        <f t="shared" si="2"/>
        <v>人民币</v>
      </c>
      <c r="N56" s="4" t="str">
        <f t="shared" si="23"/>
        <v>980149593788</v>
      </c>
      <c r="O56" s="4" t="str">
        <f t="shared" si="4"/>
        <v>300100052893</v>
      </c>
    </row>
    <row r="57" spans="1:15">
      <c r="A57" s="4" t="str">
        <f>"20210628"</f>
        <v>20210628</v>
      </c>
      <c r="B57" s="4" t="str">
        <f>"20210628"</f>
        <v>20210628</v>
      </c>
      <c r="C57" s="4" t="str">
        <f t="shared" si="21"/>
        <v>基金赎回拨入</v>
      </c>
      <c r="D57" s="4" t="str">
        <f t="shared" si="22"/>
        <v>AA0007</v>
      </c>
      <c r="E57" s="4" t="str">
        <f t="shared" si="24"/>
        <v>银河水星1号集合</v>
      </c>
      <c r="F57" s="4">
        <v>0</v>
      </c>
      <c r="G57" s="4">
        <v>0</v>
      </c>
      <c r="H57" s="4">
        <v>0</v>
      </c>
      <c r="I57" s="4">
        <v>0.05</v>
      </c>
      <c r="J57" s="4">
        <v>5</v>
      </c>
      <c r="K57" s="4">
        <v>0</v>
      </c>
      <c r="L57" s="4" t="str">
        <f t="shared" si="2"/>
        <v>人民币</v>
      </c>
      <c r="N57" s="4" t="str">
        <f t="shared" si="23"/>
        <v>980149593788</v>
      </c>
      <c r="O57" s="4" t="str">
        <f t="shared" si="4"/>
        <v>300100052893</v>
      </c>
    </row>
    <row r="58" spans="1:15">
      <c r="A58" s="4" t="str">
        <f>"20210629"</f>
        <v>20210629</v>
      </c>
      <c r="B58" s="4" t="str">
        <f>"20210629"</f>
        <v>20210629</v>
      </c>
      <c r="C58" s="4" t="str">
        <f t="shared" si="21"/>
        <v>基金赎回拨入</v>
      </c>
      <c r="D58" s="4" t="str">
        <f t="shared" si="22"/>
        <v>AA0007</v>
      </c>
      <c r="E58" s="4" t="str">
        <f t="shared" si="24"/>
        <v>银河水星1号集合</v>
      </c>
      <c r="F58" s="4">
        <v>0</v>
      </c>
      <c r="G58" s="4">
        <v>0</v>
      </c>
      <c r="H58" s="4">
        <v>0</v>
      </c>
      <c r="I58" s="4">
        <v>0.15</v>
      </c>
      <c r="J58" s="4">
        <v>5</v>
      </c>
      <c r="K58" s="4">
        <v>0</v>
      </c>
      <c r="L58" s="4" t="str">
        <f t="shared" si="2"/>
        <v>人民币</v>
      </c>
      <c r="N58" s="4" t="str">
        <f t="shared" si="23"/>
        <v>980149593788</v>
      </c>
      <c r="O58" s="4" t="str">
        <f t="shared" si="4"/>
        <v>300100052893</v>
      </c>
    </row>
    <row r="59" spans="1:15">
      <c r="A59" s="4" t="str">
        <f>"20210630"</f>
        <v>20210630</v>
      </c>
      <c r="B59" s="4" t="str">
        <f>"20210630"</f>
        <v>20210630</v>
      </c>
      <c r="C59" s="4" t="str">
        <f>"基金申购拨出"</f>
        <v>基金申购拨出</v>
      </c>
      <c r="D59" s="4" t="str">
        <f t="shared" si="22"/>
        <v>AA0007</v>
      </c>
      <c r="E59" s="4" t="str">
        <f t="shared" si="24"/>
        <v>银河水星1号集合</v>
      </c>
      <c r="F59" s="4">
        <v>0</v>
      </c>
      <c r="G59" s="4">
        <v>0</v>
      </c>
      <c r="H59" s="4">
        <v>0</v>
      </c>
      <c r="I59" s="4">
        <v>-5615.95</v>
      </c>
      <c r="J59" s="4">
        <v>5</v>
      </c>
      <c r="K59" s="4">
        <v>0</v>
      </c>
      <c r="L59" s="4" t="str">
        <f t="shared" si="2"/>
        <v>人民币</v>
      </c>
      <c r="N59" s="4" t="str">
        <f t="shared" si="23"/>
        <v>980149593788</v>
      </c>
      <c r="O59" s="4" t="str">
        <f t="shared" si="4"/>
        <v>300100052893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B62"/>
  <sheetViews>
    <sheetView zoomScaleSheetLayoutView="60" topLeftCell="A13" workbookViewId="0">
      <selection activeCell="D65" sqref="D65"/>
    </sheetView>
  </sheetViews>
  <sheetFormatPr defaultColWidth="9" defaultRowHeight="13.5"/>
  <cols>
    <col min="1" max="25" width="9" style="4"/>
    <col min="26" max="26" width="17.625" style="4" customWidth="1"/>
    <col min="27" max="16384" width="9" style="4"/>
  </cols>
  <sheetData>
    <row r="2" spans="1:28">
      <c r="A2" s="4" t="str">
        <f>"交收日期"</f>
        <v>交收日期</v>
      </c>
      <c r="B2" s="4" t="str">
        <f>"清算日期"</f>
        <v>清算日期</v>
      </c>
      <c r="C2" s="4" t="str">
        <f>"委托日期"</f>
        <v>委托日期</v>
      </c>
      <c r="D2" s="4" t="str">
        <f>"委托时间"</f>
        <v>委托时间</v>
      </c>
      <c r="E2" s="4" t="str">
        <f>"业务类型"</f>
        <v>业务类型</v>
      </c>
      <c r="F2" s="4" t="str">
        <f>"证券代码"</f>
        <v>证券代码</v>
      </c>
      <c r="G2" s="4" t="str">
        <f>"证券名称"</f>
        <v>证券名称</v>
      </c>
      <c r="H2" s="4" t="str">
        <f>"成交价格"</f>
        <v>成交价格</v>
      </c>
      <c r="I2" s="4" t="str">
        <f>"成交数量"</f>
        <v>成交数量</v>
      </c>
      <c r="J2" s="4" t="str">
        <f>"成交金额"</f>
        <v>成交金额</v>
      </c>
      <c r="K2" s="4" t="str">
        <f>"发生金额"</f>
        <v>发生金额</v>
      </c>
      <c r="L2" s="4" t="str">
        <f>"委托数量"</f>
        <v>委托数量</v>
      </c>
      <c r="M2" s="4" t="str">
        <f>"委托价格(港币)"</f>
        <v>委托价格(港币)</v>
      </c>
      <c r="N2" s="4" t="str">
        <f>"剩余金额"</f>
        <v>剩余金额</v>
      </c>
      <c r="O2" s="4" t="str">
        <f>"证券数量"</f>
        <v>证券数量</v>
      </c>
      <c r="P2" s="4" t="str">
        <f>"印花税"</f>
        <v>印花税</v>
      </c>
      <c r="Q2" s="4" t="str">
        <f>"手续费"</f>
        <v>手续费</v>
      </c>
      <c r="R2" s="4" t="str">
        <f>"股份交收费"</f>
        <v>股份交收费</v>
      </c>
      <c r="S2" s="4" t="str">
        <f>"交易费"</f>
        <v>交易费</v>
      </c>
      <c r="T2" s="4" t="str">
        <f>"前台费"</f>
        <v>前台费</v>
      </c>
      <c r="U2" s="4" t="str">
        <f>"交易系统使用费"</f>
        <v>交易系统使用费</v>
      </c>
      <c r="V2" s="4" t="str">
        <f>"交易征费"</f>
        <v>交易征费</v>
      </c>
      <c r="W2" s="4" t="str">
        <f>"其他费"</f>
        <v>其他费</v>
      </c>
      <c r="X2" s="4" t="str">
        <f>"结算汇率"</f>
        <v>结算汇率</v>
      </c>
      <c r="Y2" s="4" t="str">
        <f>"协议编号"</f>
        <v>协议编号</v>
      </c>
      <c r="Z2" s="4" t="str">
        <f>"成交时间"</f>
        <v>成交时间</v>
      </c>
      <c r="AA2" s="4" t="str">
        <f>"币种"</f>
        <v>币种</v>
      </c>
      <c r="AB2" s="4" t="str">
        <f>"股东代码"</f>
        <v>股东代码</v>
      </c>
    </row>
    <row r="3" spans="1:28">
      <c r="A3" s="4" t="str">
        <f>"20210401"</f>
        <v>20210401</v>
      </c>
      <c r="B3" s="4" t="str">
        <f>"20210401"</f>
        <v>20210401</v>
      </c>
      <c r="C3" s="4" t="str">
        <f t="shared" ref="C3:C10" si="0">"0"</f>
        <v>0</v>
      </c>
      <c r="D3" s="4" t="str">
        <f t="shared" ref="D3:D10" si="1">"00:00:00"</f>
        <v>00:00:00</v>
      </c>
      <c r="E3" s="4" t="str">
        <f t="shared" ref="E3:E10" si="2">"港股通组合费"</f>
        <v>港股通组合费</v>
      </c>
      <c r="F3" s="4" t="str">
        <f t="shared" ref="F3:F10" si="3">""</f>
        <v/>
      </c>
      <c r="G3" s="4" t="str">
        <f t="shared" ref="G3:G10" si="4">""</f>
        <v/>
      </c>
      <c r="H3" s="4" t="str">
        <f t="shared" ref="H3:H10" si="5">"0.00"</f>
        <v>0.00</v>
      </c>
      <c r="I3" s="4" t="str">
        <f t="shared" ref="I3:I10" si="6">"0"</f>
        <v>0</v>
      </c>
      <c r="J3" s="4" t="str">
        <f t="shared" ref="J3:J6" si="7">"0.06"</f>
        <v>0.06</v>
      </c>
      <c r="K3" s="4" t="str">
        <f t="shared" ref="K3:K6" si="8">"-0.06"</f>
        <v>-0.06</v>
      </c>
      <c r="L3" s="4" t="str">
        <f t="shared" ref="L3:W3" si="9">"0.00"</f>
        <v>0.00</v>
      </c>
      <c r="M3" s="4" t="str">
        <f t="shared" ref="M3:M10" si="10">"0.000"</f>
        <v>0.000</v>
      </c>
      <c r="N3" s="4" t="str">
        <f>"565.19"</f>
        <v>565.19</v>
      </c>
      <c r="O3" s="4" t="str">
        <f t="shared" ref="O3:O10" si="11">"0"</f>
        <v>0</v>
      </c>
      <c r="P3" s="4" t="str">
        <f t="shared" si="9"/>
        <v>0.00</v>
      </c>
      <c r="Q3" s="4" t="str">
        <f t="shared" si="9"/>
        <v>0.00</v>
      </c>
      <c r="R3" s="4" t="str">
        <f t="shared" si="9"/>
        <v>0.00</v>
      </c>
      <c r="S3" s="4" t="str">
        <f t="shared" si="9"/>
        <v>0.00</v>
      </c>
      <c r="T3" s="4" t="str">
        <f t="shared" si="9"/>
        <v>0.00</v>
      </c>
      <c r="U3" s="4" t="str">
        <f t="shared" si="9"/>
        <v>0.00</v>
      </c>
      <c r="V3" s="4" t="str">
        <f t="shared" si="9"/>
        <v>0.00</v>
      </c>
      <c r="W3" s="4" t="str">
        <f t="shared" si="9"/>
        <v>0.00</v>
      </c>
      <c r="X3" s="4" t="str">
        <f t="shared" ref="X3:X10" si="12">"0.00000"</f>
        <v>0.00000</v>
      </c>
      <c r="Y3" s="4" t="str">
        <f t="shared" ref="Y3:Y10" si="13">"0"</f>
        <v>0</v>
      </c>
      <c r="Z3" s="4" t="str">
        <f t="shared" ref="Z3:Z10" si="14">"0"</f>
        <v>0</v>
      </c>
      <c r="AA3" s="4" t="str">
        <f t="shared" ref="AA3:AA62" si="15">"人民币"</f>
        <v>人民币</v>
      </c>
      <c r="AB3" s="4" t="str">
        <f t="shared" ref="AB3:AB62" si="16">"A368402599"</f>
        <v>A368402599</v>
      </c>
    </row>
    <row r="4" spans="1:28">
      <c r="A4" s="4" t="str">
        <f>"20210407"</f>
        <v>20210407</v>
      </c>
      <c r="B4" s="4" t="str">
        <f>"20210407"</f>
        <v>20210407</v>
      </c>
      <c r="C4" s="4" t="str">
        <f t="shared" si="0"/>
        <v>0</v>
      </c>
      <c r="D4" s="4" t="str">
        <f t="shared" si="1"/>
        <v>00:00:00</v>
      </c>
      <c r="E4" s="4" t="str">
        <f t="shared" si="2"/>
        <v>港股通组合费</v>
      </c>
      <c r="F4" s="4" t="str">
        <f t="shared" si="3"/>
        <v/>
      </c>
      <c r="G4" s="4" t="str">
        <f t="shared" si="4"/>
        <v/>
      </c>
      <c r="H4" s="4" t="str">
        <f t="shared" si="5"/>
        <v>0.00</v>
      </c>
      <c r="I4" s="4" t="str">
        <f t="shared" si="6"/>
        <v>0</v>
      </c>
      <c r="J4" s="4" t="str">
        <f>"0.36"</f>
        <v>0.36</v>
      </c>
      <c r="K4" s="4" t="str">
        <f>"-0.36"</f>
        <v>-0.36</v>
      </c>
      <c r="L4" s="4" t="str">
        <f t="shared" ref="L4:W4" si="17">"0.00"</f>
        <v>0.00</v>
      </c>
      <c r="M4" s="4" t="str">
        <f t="shared" si="10"/>
        <v>0.000</v>
      </c>
      <c r="N4" s="4" t="str">
        <f>"564.83"</f>
        <v>564.83</v>
      </c>
      <c r="O4" s="4" t="str">
        <f t="shared" si="11"/>
        <v>0</v>
      </c>
      <c r="P4" s="4" t="str">
        <f t="shared" si="17"/>
        <v>0.00</v>
      </c>
      <c r="Q4" s="4" t="str">
        <f t="shared" si="17"/>
        <v>0.00</v>
      </c>
      <c r="R4" s="4" t="str">
        <f t="shared" si="17"/>
        <v>0.00</v>
      </c>
      <c r="S4" s="4" t="str">
        <f t="shared" si="17"/>
        <v>0.00</v>
      </c>
      <c r="T4" s="4" t="str">
        <f t="shared" si="17"/>
        <v>0.00</v>
      </c>
      <c r="U4" s="4" t="str">
        <f t="shared" si="17"/>
        <v>0.00</v>
      </c>
      <c r="V4" s="4" t="str">
        <f t="shared" si="17"/>
        <v>0.00</v>
      </c>
      <c r="W4" s="4" t="str">
        <f t="shared" si="17"/>
        <v>0.00</v>
      </c>
      <c r="X4" s="4" t="str">
        <f t="shared" si="12"/>
        <v>0.00000</v>
      </c>
      <c r="Y4" s="4" t="str">
        <f t="shared" si="13"/>
        <v>0</v>
      </c>
      <c r="Z4" s="4" t="str">
        <f t="shared" si="14"/>
        <v>0</v>
      </c>
      <c r="AA4" s="4" t="str">
        <f t="shared" si="15"/>
        <v>人民币</v>
      </c>
      <c r="AB4" s="4" t="str">
        <f t="shared" si="16"/>
        <v>A368402599</v>
      </c>
    </row>
    <row r="5" spans="1:28">
      <c r="A5" s="4" t="str">
        <f>"20210408"</f>
        <v>20210408</v>
      </c>
      <c r="B5" s="4" t="str">
        <f>"20210408"</f>
        <v>20210408</v>
      </c>
      <c r="C5" s="4" t="str">
        <f t="shared" si="0"/>
        <v>0</v>
      </c>
      <c r="D5" s="4" t="str">
        <f t="shared" si="1"/>
        <v>00:00:00</v>
      </c>
      <c r="E5" s="4" t="str">
        <f t="shared" si="2"/>
        <v>港股通组合费</v>
      </c>
      <c r="F5" s="4" t="str">
        <f t="shared" si="3"/>
        <v/>
      </c>
      <c r="G5" s="4" t="str">
        <f t="shared" si="4"/>
        <v/>
      </c>
      <c r="H5" s="4" t="str">
        <f t="shared" si="5"/>
        <v>0.00</v>
      </c>
      <c r="I5" s="4" t="str">
        <f t="shared" si="6"/>
        <v>0</v>
      </c>
      <c r="J5" s="4" t="str">
        <f t="shared" si="7"/>
        <v>0.06</v>
      </c>
      <c r="K5" s="4" t="str">
        <f t="shared" si="8"/>
        <v>-0.06</v>
      </c>
      <c r="L5" s="4" t="str">
        <f t="shared" ref="L5:W5" si="18">"0.00"</f>
        <v>0.00</v>
      </c>
      <c r="M5" s="4" t="str">
        <f t="shared" si="10"/>
        <v>0.000</v>
      </c>
      <c r="N5" s="4" t="str">
        <f>"564.77"</f>
        <v>564.77</v>
      </c>
      <c r="O5" s="4" t="str">
        <f t="shared" si="11"/>
        <v>0</v>
      </c>
      <c r="P5" s="4" t="str">
        <f t="shared" si="18"/>
        <v>0.00</v>
      </c>
      <c r="Q5" s="4" t="str">
        <f t="shared" si="18"/>
        <v>0.00</v>
      </c>
      <c r="R5" s="4" t="str">
        <f t="shared" si="18"/>
        <v>0.00</v>
      </c>
      <c r="S5" s="4" t="str">
        <f t="shared" si="18"/>
        <v>0.00</v>
      </c>
      <c r="T5" s="4" t="str">
        <f t="shared" si="18"/>
        <v>0.00</v>
      </c>
      <c r="U5" s="4" t="str">
        <f t="shared" si="18"/>
        <v>0.00</v>
      </c>
      <c r="V5" s="4" t="str">
        <f t="shared" si="18"/>
        <v>0.00</v>
      </c>
      <c r="W5" s="4" t="str">
        <f t="shared" si="18"/>
        <v>0.00</v>
      </c>
      <c r="X5" s="4" t="str">
        <f t="shared" si="12"/>
        <v>0.00000</v>
      </c>
      <c r="Y5" s="4" t="str">
        <f t="shared" si="13"/>
        <v>0</v>
      </c>
      <c r="Z5" s="4" t="str">
        <f t="shared" si="14"/>
        <v>0</v>
      </c>
      <c r="AA5" s="4" t="str">
        <f t="shared" si="15"/>
        <v>人民币</v>
      </c>
      <c r="AB5" s="4" t="str">
        <f t="shared" si="16"/>
        <v>A368402599</v>
      </c>
    </row>
    <row r="6" spans="1:28">
      <c r="A6" s="4" t="str">
        <f>"20210409"</f>
        <v>20210409</v>
      </c>
      <c r="B6" s="4" t="str">
        <f>"20210409"</f>
        <v>20210409</v>
      </c>
      <c r="C6" s="4" t="str">
        <f t="shared" si="0"/>
        <v>0</v>
      </c>
      <c r="D6" s="4" t="str">
        <f t="shared" si="1"/>
        <v>00:00:00</v>
      </c>
      <c r="E6" s="4" t="str">
        <f t="shared" si="2"/>
        <v>港股通组合费</v>
      </c>
      <c r="F6" s="4" t="str">
        <f t="shared" si="3"/>
        <v/>
      </c>
      <c r="G6" s="4" t="str">
        <f t="shared" si="4"/>
        <v/>
      </c>
      <c r="H6" s="4" t="str">
        <f t="shared" si="5"/>
        <v>0.00</v>
      </c>
      <c r="I6" s="4" t="str">
        <f t="shared" si="6"/>
        <v>0</v>
      </c>
      <c r="J6" s="4" t="str">
        <f t="shared" si="7"/>
        <v>0.06</v>
      </c>
      <c r="K6" s="4" t="str">
        <f t="shared" si="8"/>
        <v>-0.06</v>
      </c>
      <c r="L6" s="4" t="str">
        <f t="shared" ref="L6:W6" si="19">"0.00"</f>
        <v>0.00</v>
      </c>
      <c r="M6" s="4" t="str">
        <f t="shared" si="10"/>
        <v>0.000</v>
      </c>
      <c r="N6" s="4" t="str">
        <f>"564.71"</f>
        <v>564.71</v>
      </c>
      <c r="O6" s="4" t="str">
        <f t="shared" si="11"/>
        <v>0</v>
      </c>
      <c r="P6" s="4" t="str">
        <f t="shared" si="19"/>
        <v>0.00</v>
      </c>
      <c r="Q6" s="4" t="str">
        <f t="shared" si="19"/>
        <v>0.00</v>
      </c>
      <c r="R6" s="4" t="str">
        <f t="shared" si="19"/>
        <v>0.00</v>
      </c>
      <c r="S6" s="4" t="str">
        <f t="shared" si="19"/>
        <v>0.00</v>
      </c>
      <c r="T6" s="4" t="str">
        <f t="shared" si="19"/>
        <v>0.00</v>
      </c>
      <c r="U6" s="4" t="str">
        <f t="shared" si="19"/>
        <v>0.00</v>
      </c>
      <c r="V6" s="4" t="str">
        <f t="shared" si="19"/>
        <v>0.00</v>
      </c>
      <c r="W6" s="4" t="str">
        <f t="shared" si="19"/>
        <v>0.00</v>
      </c>
      <c r="X6" s="4" t="str">
        <f t="shared" si="12"/>
        <v>0.00000</v>
      </c>
      <c r="Y6" s="4" t="str">
        <f t="shared" si="13"/>
        <v>0</v>
      </c>
      <c r="Z6" s="4" t="str">
        <f t="shared" si="14"/>
        <v>0</v>
      </c>
      <c r="AA6" s="4" t="str">
        <f t="shared" si="15"/>
        <v>人民币</v>
      </c>
      <c r="AB6" s="4" t="str">
        <f t="shared" si="16"/>
        <v>A368402599</v>
      </c>
    </row>
    <row r="7" spans="1:28">
      <c r="A7" s="4" t="str">
        <f>"20210412"</f>
        <v>20210412</v>
      </c>
      <c r="B7" s="4" t="str">
        <f>"20210412"</f>
        <v>20210412</v>
      </c>
      <c r="C7" s="4" t="str">
        <f t="shared" si="0"/>
        <v>0</v>
      </c>
      <c r="D7" s="4" t="str">
        <f t="shared" si="1"/>
        <v>00:00:00</v>
      </c>
      <c r="E7" s="4" t="str">
        <f t="shared" si="2"/>
        <v>港股通组合费</v>
      </c>
      <c r="F7" s="4" t="str">
        <f t="shared" si="3"/>
        <v/>
      </c>
      <c r="G7" s="4" t="str">
        <f t="shared" si="4"/>
        <v/>
      </c>
      <c r="H7" s="4" t="str">
        <f t="shared" si="5"/>
        <v>0.00</v>
      </c>
      <c r="I7" s="4" t="str">
        <f t="shared" si="6"/>
        <v>0</v>
      </c>
      <c r="J7" s="4" t="str">
        <f>"0.18"</f>
        <v>0.18</v>
      </c>
      <c r="K7" s="4" t="str">
        <f>"-0.18"</f>
        <v>-0.18</v>
      </c>
      <c r="L7" s="4" t="str">
        <f t="shared" ref="L7:W7" si="20">"0.00"</f>
        <v>0.00</v>
      </c>
      <c r="M7" s="4" t="str">
        <f t="shared" si="10"/>
        <v>0.000</v>
      </c>
      <c r="N7" s="4" t="str">
        <f>"564.53"</f>
        <v>564.53</v>
      </c>
      <c r="O7" s="4" t="str">
        <f t="shared" si="11"/>
        <v>0</v>
      </c>
      <c r="P7" s="4" t="str">
        <f t="shared" si="20"/>
        <v>0.00</v>
      </c>
      <c r="Q7" s="4" t="str">
        <f t="shared" si="20"/>
        <v>0.00</v>
      </c>
      <c r="R7" s="4" t="str">
        <f t="shared" si="20"/>
        <v>0.00</v>
      </c>
      <c r="S7" s="4" t="str">
        <f t="shared" si="20"/>
        <v>0.00</v>
      </c>
      <c r="T7" s="4" t="str">
        <f t="shared" si="20"/>
        <v>0.00</v>
      </c>
      <c r="U7" s="4" t="str">
        <f t="shared" si="20"/>
        <v>0.00</v>
      </c>
      <c r="V7" s="4" t="str">
        <f t="shared" si="20"/>
        <v>0.00</v>
      </c>
      <c r="W7" s="4" t="str">
        <f t="shared" si="20"/>
        <v>0.00</v>
      </c>
      <c r="X7" s="4" t="str">
        <f t="shared" si="12"/>
        <v>0.00000</v>
      </c>
      <c r="Y7" s="4" t="str">
        <f t="shared" si="13"/>
        <v>0</v>
      </c>
      <c r="Z7" s="4" t="str">
        <f t="shared" si="14"/>
        <v>0</v>
      </c>
      <c r="AA7" s="4" t="str">
        <f t="shared" si="15"/>
        <v>人民币</v>
      </c>
      <c r="AB7" s="4" t="str">
        <f t="shared" si="16"/>
        <v>A368402599</v>
      </c>
    </row>
    <row r="8" spans="1:28">
      <c r="A8" s="4" t="str">
        <f>"20210413"</f>
        <v>20210413</v>
      </c>
      <c r="B8" s="4" t="str">
        <f>"20210413"</f>
        <v>20210413</v>
      </c>
      <c r="C8" s="4" t="str">
        <f t="shared" si="0"/>
        <v>0</v>
      </c>
      <c r="D8" s="4" t="str">
        <f t="shared" si="1"/>
        <v>00:00:00</v>
      </c>
      <c r="E8" s="4" t="str">
        <f t="shared" si="2"/>
        <v>港股通组合费</v>
      </c>
      <c r="F8" s="4" t="str">
        <f t="shared" si="3"/>
        <v/>
      </c>
      <c r="G8" s="4" t="str">
        <f t="shared" si="4"/>
        <v/>
      </c>
      <c r="H8" s="4" t="str">
        <f t="shared" si="5"/>
        <v>0.00</v>
      </c>
      <c r="I8" s="4" t="str">
        <f t="shared" si="6"/>
        <v>0</v>
      </c>
      <c r="J8" s="4" t="str">
        <f t="shared" ref="J8:J10" si="21">"0.06"</f>
        <v>0.06</v>
      </c>
      <c r="K8" s="4" t="str">
        <f t="shared" ref="K8:K10" si="22">"-0.06"</f>
        <v>-0.06</v>
      </c>
      <c r="L8" s="4" t="str">
        <f t="shared" ref="L8:W8" si="23">"0.00"</f>
        <v>0.00</v>
      </c>
      <c r="M8" s="4" t="str">
        <f t="shared" si="10"/>
        <v>0.000</v>
      </c>
      <c r="N8" s="4" t="str">
        <f>"564.47"</f>
        <v>564.47</v>
      </c>
      <c r="O8" s="4" t="str">
        <f t="shared" si="11"/>
        <v>0</v>
      </c>
      <c r="P8" s="4" t="str">
        <f t="shared" si="23"/>
        <v>0.00</v>
      </c>
      <c r="Q8" s="4" t="str">
        <f t="shared" si="23"/>
        <v>0.00</v>
      </c>
      <c r="R8" s="4" t="str">
        <f t="shared" si="23"/>
        <v>0.00</v>
      </c>
      <c r="S8" s="4" t="str">
        <f t="shared" si="23"/>
        <v>0.00</v>
      </c>
      <c r="T8" s="4" t="str">
        <f t="shared" si="23"/>
        <v>0.00</v>
      </c>
      <c r="U8" s="4" t="str">
        <f t="shared" si="23"/>
        <v>0.00</v>
      </c>
      <c r="V8" s="4" t="str">
        <f t="shared" si="23"/>
        <v>0.00</v>
      </c>
      <c r="W8" s="4" t="str">
        <f t="shared" si="23"/>
        <v>0.00</v>
      </c>
      <c r="X8" s="4" t="str">
        <f t="shared" si="12"/>
        <v>0.00000</v>
      </c>
      <c r="Y8" s="4" t="str">
        <f t="shared" si="13"/>
        <v>0</v>
      </c>
      <c r="Z8" s="4" t="str">
        <f t="shared" si="14"/>
        <v>0</v>
      </c>
      <c r="AA8" s="4" t="str">
        <f t="shared" si="15"/>
        <v>人民币</v>
      </c>
      <c r="AB8" s="4" t="str">
        <f t="shared" si="16"/>
        <v>A368402599</v>
      </c>
    </row>
    <row r="9" spans="1:28">
      <c r="A9" s="4" t="str">
        <f>"20210414"</f>
        <v>20210414</v>
      </c>
      <c r="B9" s="4" t="str">
        <f>"20210414"</f>
        <v>20210414</v>
      </c>
      <c r="C9" s="4" t="str">
        <f t="shared" si="0"/>
        <v>0</v>
      </c>
      <c r="D9" s="4" t="str">
        <f t="shared" si="1"/>
        <v>00:00:00</v>
      </c>
      <c r="E9" s="4" t="str">
        <f t="shared" si="2"/>
        <v>港股通组合费</v>
      </c>
      <c r="F9" s="4" t="str">
        <f t="shared" si="3"/>
        <v/>
      </c>
      <c r="G9" s="4" t="str">
        <f t="shared" si="4"/>
        <v/>
      </c>
      <c r="H9" s="4" t="str">
        <f t="shared" si="5"/>
        <v>0.00</v>
      </c>
      <c r="I9" s="4" t="str">
        <f t="shared" si="6"/>
        <v>0</v>
      </c>
      <c r="J9" s="4" t="str">
        <f t="shared" si="21"/>
        <v>0.06</v>
      </c>
      <c r="K9" s="4" t="str">
        <f t="shared" si="22"/>
        <v>-0.06</v>
      </c>
      <c r="L9" s="4" t="str">
        <f t="shared" ref="L9:W9" si="24">"0.00"</f>
        <v>0.00</v>
      </c>
      <c r="M9" s="4" t="str">
        <f t="shared" si="10"/>
        <v>0.000</v>
      </c>
      <c r="N9" s="4" t="str">
        <f>"564.41"</f>
        <v>564.41</v>
      </c>
      <c r="O9" s="4" t="str">
        <f t="shared" si="11"/>
        <v>0</v>
      </c>
      <c r="P9" s="4" t="str">
        <f t="shared" si="24"/>
        <v>0.00</v>
      </c>
      <c r="Q9" s="4" t="str">
        <f t="shared" si="24"/>
        <v>0.00</v>
      </c>
      <c r="R9" s="4" t="str">
        <f t="shared" si="24"/>
        <v>0.00</v>
      </c>
      <c r="S9" s="4" t="str">
        <f t="shared" si="24"/>
        <v>0.00</v>
      </c>
      <c r="T9" s="4" t="str">
        <f t="shared" si="24"/>
        <v>0.00</v>
      </c>
      <c r="U9" s="4" t="str">
        <f t="shared" si="24"/>
        <v>0.00</v>
      </c>
      <c r="V9" s="4" t="str">
        <f t="shared" si="24"/>
        <v>0.00</v>
      </c>
      <c r="W9" s="4" t="str">
        <f t="shared" si="24"/>
        <v>0.00</v>
      </c>
      <c r="X9" s="4" t="str">
        <f t="shared" si="12"/>
        <v>0.00000</v>
      </c>
      <c r="Y9" s="4" t="str">
        <f t="shared" si="13"/>
        <v>0</v>
      </c>
      <c r="Z9" s="4" t="str">
        <f t="shared" si="14"/>
        <v>0</v>
      </c>
      <c r="AA9" s="4" t="str">
        <f t="shared" si="15"/>
        <v>人民币</v>
      </c>
      <c r="AB9" s="4" t="str">
        <f t="shared" si="16"/>
        <v>A368402599</v>
      </c>
    </row>
    <row r="10" spans="1:28">
      <c r="A10" s="4" t="str">
        <f>"20210415"</f>
        <v>20210415</v>
      </c>
      <c r="B10" s="4" t="str">
        <f>"20210415"</f>
        <v>20210415</v>
      </c>
      <c r="C10" s="4" t="str">
        <f t="shared" si="0"/>
        <v>0</v>
      </c>
      <c r="D10" s="4" t="str">
        <f t="shared" si="1"/>
        <v>00:00:00</v>
      </c>
      <c r="E10" s="4" t="str">
        <f t="shared" si="2"/>
        <v>港股通组合费</v>
      </c>
      <c r="F10" s="4" t="str">
        <f t="shared" si="3"/>
        <v/>
      </c>
      <c r="G10" s="4" t="str">
        <f t="shared" si="4"/>
        <v/>
      </c>
      <c r="H10" s="4" t="str">
        <f t="shared" si="5"/>
        <v>0.00</v>
      </c>
      <c r="I10" s="4" t="str">
        <f t="shared" si="6"/>
        <v>0</v>
      </c>
      <c r="J10" s="4" t="str">
        <f t="shared" si="21"/>
        <v>0.06</v>
      </c>
      <c r="K10" s="4" t="str">
        <f t="shared" si="22"/>
        <v>-0.06</v>
      </c>
      <c r="L10" s="4" t="str">
        <f t="shared" ref="L10:W10" si="25">"0.00"</f>
        <v>0.00</v>
      </c>
      <c r="M10" s="4" t="str">
        <f t="shared" si="10"/>
        <v>0.000</v>
      </c>
      <c r="N10" s="4" t="str">
        <f>"564.35"</f>
        <v>564.35</v>
      </c>
      <c r="O10" s="4" t="str">
        <f t="shared" si="11"/>
        <v>0</v>
      </c>
      <c r="P10" s="4" t="str">
        <f t="shared" si="25"/>
        <v>0.00</v>
      </c>
      <c r="Q10" s="4" t="str">
        <f t="shared" si="25"/>
        <v>0.00</v>
      </c>
      <c r="R10" s="4" t="str">
        <f t="shared" si="25"/>
        <v>0.00</v>
      </c>
      <c r="S10" s="4" t="str">
        <f t="shared" si="25"/>
        <v>0.00</v>
      </c>
      <c r="T10" s="4" t="str">
        <f t="shared" si="25"/>
        <v>0.00</v>
      </c>
      <c r="U10" s="4" t="str">
        <f t="shared" si="25"/>
        <v>0.00</v>
      </c>
      <c r="V10" s="4" t="str">
        <f t="shared" si="25"/>
        <v>0.00</v>
      </c>
      <c r="W10" s="4" t="str">
        <f t="shared" si="25"/>
        <v>0.00</v>
      </c>
      <c r="X10" s="4" t="str">
        <f t="shared" si="12"/>
        <v>0.00000</v>
      </c>
      <c r="Y10" s="4" t="str">
        <f t="shared" si="13"/>
        <v>0</v>
      </c>
      <c r="Z10" s="4" t="str">
        <f t="shared" si="14"/>
        <v>0</v>
      </c>
      <c r="AA10" s="4" t="str">
        <f t="shared" si="15"/>
        <v>人民币</v>
      </c>
      <c r="AB10" s="4" t="str">
        <f t="shared" si="16"/>
        <v>A368402599</v>
      </c>
    </row>
    <row r="11" spans="1:28">
      <c r="A11" s="4" t="str">
        <f>"20210416"</f>
        <v>20210416</v>
      </c>
      <c r="B11" s="4" t="str">
        <f>"20210414"</f>
        <v>20210414</v>
      </c>
      <c r="C11" s="4" t="str">
        <f>"20210414"</f>
        <v>20210414</v>
      </c>
      <c r="D11" s="4" t="str">
        <f>"09:34:04"</f>
        <v>09:34:04</v>
      </c>
      <c r="E11" s="4" t="str">
        <f>"港股通股票卖出"</f>
        <v>港股通股票卖出</v>
      </c>
      <c r="F11" s="4" t="str">
        <f>"01099"</f>
        <v>01099</v>
      </c>
      <c r="G11" s="4" t="str">
        <f>"国药控股"</f>
        <v>国药控股</v>
      </c>
      <c r="H11" s="4" t="str">
        <f>"17.53"</f>
        <v>17.53</v>
      </c>
      <c r="I11" s="4" t="str">
        <f>"800"</f>
        <v>800</v>
      </c>
      <c r="J11" s="4" t="str">
        <f>"14024.86"</f>
        <v>14024.86</v>
      </c>
      <c r="K11" s="4" t="str">
        <f>"14000.33"</f>
        <v>14000.33</v>
      </c>
      <c r="L11" s="4" t="str">
        <f>"800.00"</f>
        <v>800.00</v>
      </c>
      <c r="M11" s="4" t="str">
        <f>"20.800"</f>
        <v>20.800</v>
      </c>
      <c r="N11" s="4" t="str">
        <f>"5.00"</f>
        <v>5.00</v>
      </c>
      <c r="O11" s="4" t="str">
        <f>"2000"</f>
        <v>2000</v>
      </c>
      <c r="P11" s="4" t="str">
        <f>"14.32"</f>
        <v>14.32</v>
      </c>
      <c r="Q11" s="4" t="str">
        <f>"7.01"</f>
        <v>7.01</v>
      </c>
      <c r="R11" s="4" t="str">
        <f>"1.68"</f>
        <v>1.68</v>
      </c>
      <c r="S11" s="4" t="str">
        <f>"0.69"</f>
        <v>0.69</v>
      </c>
      <c r="T11" s="4" t="str">
        <f>"0.00"</f>
        <v>0.00</v>
      </c>
      <c r="U11" s="4" t="str">
        <f>"0.42"</f>
        <v>0.42</v>
      </c>
      <c r="V11" s="4" t="str">
        <f>"0.37"</f>
        <v>0.37</v>
      </c>
      <c r="W11" s="4" t="str">
        <f>"0.04"</f>
        <v>0.04</v>
      </c>
      <c r="X11" s="4" t="str">
        <f>"0.84284"</f>
        <v>0.84284</v>
      </c>
      <c r="Y11" s="4" t="str">
        <f>"1099000000339"</f>
        <v>1099000000339</v>
      </c>
      <c r="Z11" s="4" t="str">
        <f>"93635"</f>
        <v>93635</v>
      </c>
      <c r="AA11" s="4" t="str">
        <f t="shared" si="15"/>
        <v>人民币</v>
      </c>
      <c r="AB11" s="4" t="str">
        <f t="shared" si="16"/>
        <v>A368402599</v>
      </c>
    </row>
    <row r="12" spans="1:28">
      <c r="A12" s="4" t="str">
        <f>"20210416"</f>
        <v>20210416</v>
      </c>
      <c r="B12" s="4" t="str">
        <f>"20210416"</f>
        <v>20210416</v>
      </c>
      <c r="C12" s="4" t="str">
        <f t="shared" ref="C12:C17" si="26">"0"</f>
        <v>0</v>
      </c>
      <c r="D12" s="4" t="str">
        <f t="shared" ref="D12:D17" si="27">"00:00:00"</f>
        <v>00:00:00</v>
      </c>
      <c r="E12" s="4" t="str">
        <f t="shared" ref="E12:E17" si="28">"港股通组合费"</f>
        <v>港股通组合费</v>
      </c>
      <c r="F12" s="4" t="str">
        <f t="shared" ref="F12:F17" si="29">""</f>
        <v/>
      </c>
      <c r="G12" s="4" t="str">
        <f t="shared" ref="G12:G17" si="30">""</f>
        <v/>
      </c>
      <c r="H12" s="4" t="str">
        <f t="shared" ref="H12:H17" si="31">"0.00"</f>
        <v>0.00</v>
      </c>
      <c r="I12" s="4" t="str">
        <f t="shared" ref="I12:I17" si="32">"0"</f>
        <v>0</v>
      </c>
      <c r="J12" s="4" t="str">
        <f t="shared" ref="J12:J15" si="33">"0.06"</f>
        <v>0.06</v>
      </c>
      <c r="K12" s="4" t="str">
        <f t="shared" ref="K12:K15" si="34">"-0.06"</f>
        <v>-0.06</v>
      </c>
      <c r="L12" s="4" t="str">
        <f t="shared" ref="L12:W12" si="35">"0.00"</f>
        <v>0.00</v>
      </c>
      <c r="M12" s="4" t="str">
        <f t="shared" ref="M12:M17" si="36">"0.000"</f>
        <v>0.000</v>
      </c>
      <c r="N12" s="4" t="str">
        <f t="shared" ref="N12:N15" si="37">"4.94"</f>
        <v>4.94</v>
      </c>
      <c r="O12" s="4" t="str">
        <f t="shared" ref="O12:O17" si="38">"0"</f>
        <v>0</v>
      </c>
      <c r="P12" s="4" t="str">
        <f t="shared" si="35"/>
        <v>0.00</v>
      </c>
      <c r="Q12" s="4" t="str">
        <f t="shared" si="35"/>
        <v>0.00</v>
      </c>
      <c r="R12" s="4" t="str">
        <f t="shared" si="35"/>
        <v>0.00</v>
      </c>
      <c r="S12" s="4" t="str">
        <f t="shared" si="35"/>
        <v>0.00</v>
      </c>
      <c r="T12" s="4" t="str">
        <f t="shared" si="35"/>
        <v>0.00</v>
      </c>
      <c r="U12" s="4" t="str">
        <f t="shared" si="35"/>
        <v>0.00</v>
      </c>
      <c r="V12" s="4" t="str">
        <f t="shared" si="35"/>
        <v>0.00</v>
      </c>
      <c r="W12" s="4" t="str">
        <f t="shared" si="35"/>
        <v>0.00</v>
      </c>
      <c r="X12" s="4" t="str">
        <f t="shared" ref="X12:X17" si="39">"0.00000"</f>
        <v>0.00000</v>
      </c>
      <c r="Y12" s="4" t="str">
        <f t="shared" ref="Y12:Y17" si="40">"0"</f>
        <v>0</v>
      </c>
      <c r="Z12" s="4" t="str">
        <f t="shared" ref="Z12:Z17" si="41">"0"</f>
        <v>0</v>
      </c>
      <c r="AA12" s="4" t="str">
        <f t="shared" si="15"/>
        <v>人民币</v>
      </c>
      <c r="AB12" s="4" t="str">
        <f t="shared" si="16"/>
        <v>A368402599</v>
      </c>
    </row>
    <row r="13" spans="1:28">
      <c r="A13" s="4" t="str">
        <f>"20210419"</f>
        <v>20210419</v>
      </c>
      <c r="B13" s="4" t="str">
        <f>"20210419"</f>
        <v>20210419</v>
      </c>
      <c r="C13" s="4" t="str">
        <f t="shared" si="26"/>
        <v>0</v>
      </c>
      <c r="D13" s="4" t="str">
        <f t="shared" si="27"/>
        <v>00:00:00</v>
      </c>
      <c r="E13" s="4" t="str">
        <f t="shared" si="28"/>
        <v>港股通组合费</v>
      </c>
      <c r="F13" s="4" t="str">
        <f t="shared" si="29"/>
        <v/>
      </c>
      <c r="G13" s="4" t="str">
        <f t="shared" si="30"/>
        <v/>
      </c>
      <c r="H13" s="4" t="str">
        <f t="shared" si="31"/>
        <v>0.00</v>
      </c>
      <c r="I13" s="4" t="str">
        <f t="shared" si="32"/>
        <v>0</v>
      </c>
      <c r="J13" s="4" t="str">
        <f>"0.18"</f>
        <v>0.18</v>
      </c>
      <c r="K13" s="4" t="str">
        <f>"-0.18"</f>
        <v>-0.18</v>
      </c>
      <c r="L13" s="4" t="str">
        <f t="shared" ref="L13:W13" si="42">"0.00"</f>
        <v>0.00</v>
      </c>
      <c r="M13" s="4" t="str">
        <f t="shared" si="36"/>
        <v>0.000</v>
      </c>
      <c r="N13" s="4" t="str">
        <f>"4.82"</f>
        <v>4.82</v>
      </c>
      <c r="O13" s="4" t="str">
        <f t="shared" si="38"/>
        <v>0</v>
      </c>
      <c r="P13" s="4" t="str">
        <f t="shared" si="42"/>
        <v>0.00</v>
      </c>
      <c r="Q13" s="4" t="str">
        <f t="shared" si="42"/>
        <v>0.00</v>
      </c>
      <c r="R13" s="4" t="str">
        <f t="shared" si="42"/>
        <v>0.00</v>
      </c>
      <c r="S13" s="4" t="str">
        <f t="shared" si="42"/>
        <v>0.00</v>
      </c>
      <c r="T13" s="4" t="str">
        <f t="shared" si="42"/>
        <v>0.00</v>
      </c>
      <c r="U13" s="4" t="str">
        <f t="shared" si="42"/>
        <v>0.00</v>
      </c>
      <c r="V13" s="4" t="str">
        <f t="shared" si="42"/>
        <v>0.00</v>
      </c>
      <c r="W13" s="4" t="str">
        <f t="shared" si="42"/>
        <v>0.00</v>
      </c>
      <c r="X13" s="4" t="str">
        <f t="shared" si="39"/>
        <v>0.00000</v>
      </c>
      <c r="Y13" s="4" t="str">
        <f t="shared" si="40"/>
        <v>0</v>
      </c>
      <c r="Z13" s="4" t="str">
        <f t="shared" si="41"/>
        <v>0</v>
      </c>
      <c r="AA13" s="4" t="str">
        <f t="shared" si="15"/>
        <v>人民币</v>
      </c>
      <c r="AB13" s="4" t="str">
        <f t="shared" si="16"/>
        <v>A368402599</v>
      </c>
    </row>
    <row r="14" spans="1:28">
      <c r="A14" s="4" t="str">
        <f>"20210420"</f>
        <v>20210420</v>
      </c>
      <c r="B14" s="4" t="str">
        <f>"20210420"</f>
        <v>20210420</v>
      </c>
      <c r="C14" s="4" t="str">
        <f t="shared" si="26"/>
        <v>0</v>
      </c>
      <c r="D14" s="4" t="str">
        <f t="shared" si="27"/>
        <v>00:00:00</v>
      </c>
      <c r="E14" s="4" t="str">
        <f t="shared" si="28"/>
        <v>港股通组合费</v>
      </c>
      <c r="F14" s="4" t="str">
        <f t="shared" si="29"/>
        <v/>
      </c>
      <c r="G14" s="4" t="str">
        <f t="shared" si="30"/>
        <v/>
      </c>
      <c r="H14" s="4" t="str">
        <f t="shared" si="31"/>
        <v>0.00</v>
      </c>
      <c r="I14" s="4" t="str">
        <f t="shared" si="32"/>
        <v>0</v>
      </c>
      <c r="J14" s="4" t="str">
        <f t="shared" si="33"/>
        <v>0.06</v>
      </c>
      <c r="K14" s="4" t="str">
        <f t="shared" si="34"/>
        <v>-0.06</v>
      </c>
      <c r="L14" s="4" t="str">
        <f t="shared" ref="L14:W14" si="43">"0.00"</f>
        <v>0.00</v>
      </c>
      <c r="M14" s="4" t="str">
        <f t="shared" si="36"/>
        <v>0.000</v>
      </c>
      <c r="N14" s="4" t="str">
        <f t="shared" si="37"/>
        <v>4.94</v>
      </c>
      <c r="O14" s="4" t="str">
        <f t="shared" si="38"/>
        <v>0</v>
      </c>
      <c r="P14" s="4" t="str">
        <f t="shared" si="43"/>
        <v>0.00</v>
      </c>
      <c r="Q14" s="4" t="str">
        <f t="shared" si="43"/>
        <v>0.00</v>
      </c>
      <c r="R14" s="4" t="str">
        <f t="shared" si="43"/>
        <v>0.00</v>
      </c>
      <c r="S14" s="4" t="str">
        <f t="shared" si="43"/>
        <v>0.00</v>
      </c>
      <c r="T14" s="4" t="str">
        <f t="shared" si="43"/>
        <v>0.00</v>
      </c>
      <c r="U14" s="4" t="str">
        <f t="shared" si="43"/>
        <v>0.00</v>
      </c>
      <c r="V14" s="4" t="str">
        <f t="shared" si="43"/>
        <v>0.00</v>
      </c>
      <c r="W14" s="4" t="str">
        <f t="shared" si="43"/>
        <v>0.00</v>
      </c>
      <c r="X14" s="4" t="str">
        <f t="shared" si="39"/>
        <v>0.00000</v>
      </c>
      <c r="Y14" s="4" t="str">
        <f t="shared" si="40"/>
        <v>0</v>
      </c>
      <c r="Z14" s="4" t="str">
        <f t="shared" si="41"/>
        <v>0</v>
      </c>
      <c r="AA14" s="4" t="str">
        <f t="shared" si="15"/>
        <v>人民币</v>
      </c>
      <c r="AB14" s="4" t="str">
        <f t="shared" si="16"/>
        <v>A368402599</v>
      </c>
    </row>
    <row r="15" spans="1:28">
      <c r="A15" s="4" t="str">
        <f>"20210421"</f>
        <v>20210421</v>
      </c>
      <c r="B15" s="4" t="str">
        <f>"20210421"</f>
        <v>20210421</v>
      </c>
      <c r="C15" s="4" t="str">
        <f t="shared" si="26"/>
        <v>0</v>
      </c>
      <c r="D15" s="4" t="str">
        <f t="shared" si="27"/>
        <v>00:00:00</v>
      </c>
      <c r="E15" s="4" t="str">
        <f t="shared" si="28"/>
        <v>港股通组合费</v>
      </c>
      <c r="F15" s="4" t="str">
        <f t="shared" si="29"/>
        <v/>
      </c>
      <c r="G15" s="4" t="str">
        <f t="shared" si="30"/>
        <v/>
      </c>
      <c r="H15" s="4" t="str">
        <f t="shared" si="31"/>
        <v>0.00</v>
      </c>
      <c r="I15" s="4" t="str">
        <f t="shared" si="32"/>
        <v>0</v>
      </c>
      <c r="J15" s="4" t="str">
        <f t="shared" si="33"/>
        <v>0.06</v>
      </c>
      <c r="K15" s="4" t="str">
        <f t="shared" si="34"/>
        <v>-0.06</v>
      </c>
      <c r="L15" s="4" t="str">
        <f t="shared" ref="L15:W15" si="44">"0.00"</f>
        <v>0.00</v>
      </c>
      <c r="M15" s="4" t="str">
        <f t="shared" si="36"/>
        <v>0.000</v>
      </c>
      <c r="N15" s="4" t="str">
        <f t="shared" si="37"/>
        <v>4.94</v>
      </c>
      <c r="O15" s="4" t="str">
        <f t="shared" si="38"/>
        <v>0</v>
      </c>
      <c r="P15" s="4" t="str">
        <f t="shared" si="44"/>
        <v>0.00</v>
      </c>
      <c r="Q15" s="4" t="str">
        <f t="shared" si="44"/>
        <v>0.00</v>
      </c>
      <c r="R15" s="4" t="str">
        <f t="shared" si="44"/>
        <v>0.00</v>
      </c>
      <c r="S15" s="4" t="str">
        <f t="shared" si="44"/>
        <v>0.00</v>
      </c>
      <c r="T15" s="4" t="str">
        <f t="shared" si="44"/>
        <v>0.00</v>
      </c>
      <c r="U15" s="4" t="str">
        <f t="shared" si="44"/>
        <v>0.00</v>
      </c>
      <c r="V15" s="4" t="str">
        <f t="shared" si="44"/>
        <v>0.00</v>
      </c>
      <c r="W15" s="4" t="str">
        <f t="shared" si="44"/>
        <v>0.00</v>
      </c>
      <c r="X15" s="4" t="str">
        <f t="shared" si="39"/>
        <v>0.00000</v>
      </c>
      <c r="Y15" s="4" t="str">
        <f t="shared" si="40"/>
        <v>0</v>
      </c>
      <c r="Z15" s="4" t="str">
        <f t="shared" si="41"/>
        <v>0</v>
      </c>
      <c r="AA15" s="4" t="str">
        <f t="shared" si="15"/>
        <v>人民币</v>
      </c>
      <c r="AB15" s="4" t="str">
        <f t="shared" si="16"/>
        <v>A368402599</v>
      </c>
    </row>
    <row r="16" spans="1:28">
      <c r="A16" s="4" t="str">
        <f>"20210422"</f>
        <v>20210422</v>
      </c>
      <c r="B16" s="4" t="str">
        <f>"20210422"</f>
        <v>20210422</v>
      </c>
      <c r="C16" s="4" t="str">
        <f t="shared" si="26"/>
        <v>0</v>
      </c>
      <c r="D16" s="4" t="str">
        <f t="shared" si="27"/>
        <v>00:00:00</v>
      </c>
      <c r="E16" s="4" t="str">
        <f t="shared" si="28"/>
        <v>港股通组合费</v>
      </c>
      <c r="F16" s="4" t="str">
        <f t="shared" si="29"/>
        <v/>
      </c>
      <c r="G16" s="4" t="str">
        <f t="shared" si="30"/>
        <v/>
      </c>
      <c r="H16" s="4" t="str">
        <f t="shared" si="31"/>
        <v>0.00</v>
      </c>
      <c r="I16" s="4" t="str">
        <f t="shared" si="32"/>
        <v>0</v>
      </c>
      <c r="J16" s="4" t="str">
        <f t="shared" ref="J16:J23" si="45">"0.05"</f>
        <v>0.05</v>
      </c>
      <c r="K16" s="4" t="str">
        <f t="shared" ref="K16:K23" si="46">"-0.05"</f>
        <v>-0.05</v>
      </c>
      <c r="L16" s="4" t="str">
        <f t="shared" ref="L16:W16" si="47">"0.00"</f>
        <v>0.00</v>
      </c>
      <c r="M16" s="4" t="str">
        <f t="shared" si="36"/>
        <v>0.000</v>
      </c>
      <c r="N16" s="4" t="str">
        <f t="shared" ref="N16:N23" si="48">"4.95"</f>
        <v>4.95</v>
      </c>
      <c r="O16" s="4" t="str">
        <f t="shared" si="38"/>
        <v>0</v>
      </c>
      <c r="P16" s="4" t="str">
        <f t="shared" si="47"/>
        <v>0.00</v>
      </c>
      <c r="Q16" s="4" t="str">
        <f t="shared" si="47"/>
        <v>0.00</v>
      </c>
      <c r="R16" s="4" t="str">
        <f t="shared" si="47"/>
        <v>0.00</v>
      </c>
      <c r="S16" s="4" t="str">
        <f t="shared" si="47"/>
        <v>0.00</v>
      </c>
      <c r="T16" s="4" t="str">
        <f t="shared" si="47"/>
        <v>0.00</v>
      </c>
      <c r="U16" s="4" t="str">
        <f t="shared" si="47"/>
        <v>0.00</v>
      </c>
      <c r="V16" s="4" t="str">
        <f t="shared" si="47"/>
        <v>0.00</v>
      </c>
      <c r="W16" s="4" t="str">
        <f t="shared" si="47"/>
        <v>0.00</v>
      </c>
      <c r="X16" s="4" t="str">
        <f t="shared" si="39"/>
        <v>0.00000</v>
      </c>
      <c r="Y16" s="4" t="str">
        <f t="shared" si="40"/>
        <v>0</v>
      </c>
      <c r="Z16" s="4" t="str">
        <f t="shared" si="41"/>
        <v>0</v>
      </c>
      <c r="AA16" s="4" t="str">
        <f t="shared" si="15"/>
        <v>人民币</v>
      </c>
      <c r="AB16" s="4" t="str">
        <f t="shared" si="16"/>
        <v>A368402599</v>
      </c>
    </row>
    <row r="17" spans="1:28">
      <c r="A17" s="4" t="str">
        <f>"20210423"</f>
        <v>20210423</v>
      </c>
      <c r="B17" s="4" t="str">
        <f>"20210423"</f>
        <v>20210423</v>
      </c>
      <c r="C17" s="4" t="str">
        <f t="shared" si="26"/>
        <v>0</v>
      </c>
      <c r="D17" s="4" t="str">
        <f t="shared" si="27"/>
        <v>00:00:00</v>
      </c>
      <c r="E17" s="4" t="str">
        <f t="shared" si="28"/>
        <v>港股通组合费</v>
      </c>
      <c r="F17" s="4" t="str">
        <f t="shared" si="29"/>
        <v/>
      </c>
      <c r="G17" s="4" t="str">
        <f t="shared" si="30"/>
        <v/>
      </c>
      <c r="H17" s="4" t="str">
        <f t="shared" si="31"/>
        <v>0.00</v>
      </c>
      <c r="I17" s="4" t="str">
        <f t="shared" si="32"/>
        <v>0</v>
      </c>
      <c r="J17" s="4" t="str">
        <f t="shared" si="45"/>
        <v>0.05</v>
      </c>
      <c r="K17" s="4" t="str">
        <f t="shared" si="46"/>
        <v>-0.05</v>
      </c>
      <c r="L17" s="4" t="str">
        <f t="shared" ref="L17:W17" si="49">"0.00"</f>
        <v>0.00</v>
      </c>
      <c r="M17" s="4" t="str">
        <f t="shared" si="36"/>
        <v>0.000</v>
      </c>
      <c r="N17" s="4" t="str">
        <f t="shared" si="48"/>
        <v>4.95</v>
      </c>
      <c r="O17" s="4" t="str">
        <f t="shared" si="38"/>
        <v>0</v>
      </c>
      <c r="P17" s="4" t="str">
        <f t="shared" si="49"/>
        <v>0.00</v>
      </c>
      <c r="Q17" s="4" t="str">
        <f t="shared" si="49"/>
        <v>0.00</v>
      </c>
      <c r="R17" s="4" t="str">
        <f t="shared" si="49"/>
        <v>0.00</v>
      </c>
      <c r="S17" s="4" t="str">
        <f t="shared" si="49"/>
        <v>0.00</v>
      </c>
      <c r="T17" s="4" t="str">
        <f t="shared" si="49"/>
        <v>0.00</v>
      </c>
      <c r="U17" s="4" t="str">
        <f t="shared" si="49"/>
        <v>0.00</v>
      </c>
      <c r="V17" s="4" t="str">
        <f t="shared" si="49"/>
        <v>0.00</v>
      </c>
      <c r="W17" s="4" t="str">
        <f t="shared" si="49"/>
        <v>0.00</v>
      </c>
      <c r="X17" s="4" t="str">
        <f t="shared" si="39"/>
        <v>0.00000</v>
      </c>
      <c r="Y17" s="4" t="str">
        <f t="shared" si="40"/>
        <v>0</v>
      </c>
      <c r="Z17" s="4" t="str">
        <f t="shared" si="41"/>
        <v>0</v>
      </c>
      <c r="AA17" s="4" t="str">
        <f t="shared" si="15"/>
        <v>人民币</v>
      </c>
      <c r="AB17" s="4" t="str">
        <f t="shared" si="16"/>
        <v>A368402599</v>
      </c>
    </row>
    <row r="18" spans="1:28">
      <c r="A18" s="4" t="str">
        <f>"20210426"</f>
        <v>20210426</v>
      </c>
      <c r="B18" s="4" t="str">
        <f>"20210422"</f>
        <v>20210422</v>
      </c>
      <c r="C18" s="4" t="str">
        <f>"20210422"</f>
        <v>20210422</v>
      </c>
      <c r="D18" s="4" t="str">
        <f>"10:53:17"</f>
        <v>10:53:17</v>
      </c>
      <c r="E18" s="4" t="str">
        <f>"港股通股票卖出"</f>
        <v>港股通股票卖出</v>
      </c>
      <c r="F18" s="4" t="str">
        <f>"01099"</f>
        <v>01099</v>
      </c>
      <c r="G18" s="4" t="str">
        <f>"国药控股"</f>
        <v>国药控股</v>
      </c>
      <c r="H18" s="4" t="str">
        <f>"20.21"</f>
        <v>20.21</v>
      </c>
      <c r="I18" s="4" t="str">
        <f>"800"</f>
        <v>800</v>
      </c>
      <c r="J18" s="4" t="str">
        <f>"16169.10"</f>
        <v>16169.10</v>
      </c>
      <c r="K18" s="4" t="str">
        <f>"16140.94"</f>
        <v>16140.94</v>
      </c>
      <c r="L18" s="4" t="str">
        <f>"800.00"</f>
        <v>800.00</v>
      </c>
      <c r="M18" s="4" t="str">
        <f>"24.150"</f>
        <v>24.150</v>
      </c>
      <c r="N18" s="4" t="str">
        <f>"5.00"</f>
        <v>5.00</v>
      </c>
      <c r="O18" s="4" t="str">
        <f>"1200"</f>
        <v>1200</v>
      </c>
      <c r="P18" s="4" t="str">
        <f>"16.73"</f>
        <v>16.73</v>
      </c>
      <c r="Q18" s="4" t="str">
        <f>"8.08"</f>
        <v>8.08</v>
      </c>
      <c r="R18" s="4" t="str">
        <f>"1.67"</f>
        <v>1.67</v>
      </c>
      <c r="S18" s="4" t="str">
        <f>"0.81"</f>
        <v>0.81</v>
      </c>
      <c r="T18" s="4" t="str">
        <f>"0.00"</f>
        <v>0.00</v>
      </c>
      <c r="U18" s="4" t="str">
        <f>"0.41"</f>
        <v>0.41</v>
      </c>
      <c r="V18" s="4" t="str">
        <f>"0.43"</f>
        <v>0.43</v>
      </c>
      <c r="W18" s="4" t="str">
        <f>"0.03"</f>
        <v>0.03</v>
      </c>
      <c r="X18" s="4" t="str">
        <f>"0.83691"</f>
        <v>0.83691</v>
      </c>
      <c r="Y18" s="4" t="str">
        <f>"1099000001864"</f>
        <v>1099000001864</v>
      </c>
      <c r="Z18" s="4" t="str">
        <f>"105417"</f>
        <v>105417</v>
      </c>
      <c r="AA18" s="4" t="str">
        <f t="shared" si="15"/>
        <v>人民币</v>
      </c>
      <c r="AB18" s="4" t="str">
        <f t="shared" si="16"/>
        <v>A368402599</v>
      </c>
    </row>
    <row r="19" spans="1:28">
      <c r="A19" s="4" t="str">
        <f>"20210426"</f>
        <v>20210426</v>
      </c>
      <c r="B19" s="4" t="str">
        <f>"20210426"</f>
        <v>20210426</v>
      </c>
      <c r="C19" s="4" t="str">
        <f t="shared" ref="C19:C59" si="50">"0"</f>
        <v>0</v>
      </c>
      <c r="D19" s="4" t="str">
        <f t="shared" ref="D19:D62" si="51">"00:00:00"</f>
        <v>00:00:00</v>
      </c>
      <c r="E19" s="4" t="str">
        <f t="shared" ref="E19:E59" si="52">"港股通组合费"</f>
        <v>港股通组合费</v>
      </c>
      <c r="F19" s="4" t="str">
        <f t="shared" ref="F19:F59" si="53">""</f>
        <v/>
      </c>
      <c r="G19" s="4" t="str">
        <f t="shared" ref="G19:G59" si="54">""</f>
        <v/>
      </c>
      <c r="H19" s="4" t="str">
        <f t="shared" ref="H19:H59" si="55">"0.00"</f>
        <v>0.00</v>
      </c>
      <c r="I19" s="4" t="str">
        <f t="shared" ref="I19:I59" si="56">"0"</f>
        <v>0</v>
      </c>
      <c r="J19" s="4" t="str">
        <f>"0.15"</f>
        <v>0.15</v>
      </c>
      <c r="K19" s="4" t="str">
        <f>"-0.15"</f>
        <v>-0.15</v>
      </c>
      <c r="L19" s="4" t="str">
        <f t="shared" ref="L19:W19" si="57">"0.00"</f>
        <v>0.00</v>
      </c>
      <c r="M19" s="4" t="str">
        <f t="shared" ref="M19:M62" si="58">"0.000"</f>
        <v>0.000</v>
      </c>
      <c r="N19" s="4" t="str">
        <f>"4.85"</f>
        <v>4.85</v>
      </c>
      <c r="O19" s="4" t="str">
        <f t="shared" ref="O19:O59" si="59">"0"</f>
        <v>0</v>
      </c>
      <c r="P19" s="4" t="str">
        <f t="shared" si="57"/>
        <v>0.00</v>
      </c>
      <c r="Q19" s="4" t="str">
        <f t="shared" si="57"/>
        <v>0.00</v>
      </c>
      <c r="R19" s="4" t="str">
        <f t="shared" si="57"/>
        <v>0.00</v>
      </c>
      <c r="S19" s="4" t="str">
        <f t="shared" si="57"/>
        <v>0.00</v>
      </c>
      <c r="T19" s="4" t="str">
        <f t="shared" si="57"/>
        <v>0.00</v>
      </c>
      <c r="U19" s="4" t="str">
        <f t="shared" si="57"/>
        <v>0.00</v>
      </c>
      <c r="V19" s="4" t="str">
        <f t="shared" si="57"/>
        <v>0.00</v>
      </c>
      <c r="W19" s="4" t="str">
        <f t="shared" si="57"/>
        <v>0.00</v>
      </c>
      <c r="X19" s="4" t="str">
        <f t="shared" ref="X19:X59" si="60">"0.00000"</f>
        <v>0.00000</v>
      </c>
      <c r="Y19" s="4" t="str">
        <f t="shared" ref="Y19:Y59" si="61">"0"</f>
        <v>0</v>
      </c>
      <c r="Z19" s="4" t="str">
        <f t="shared" ref="Z19:Z62" si="62">"0"</f>
        <v>0</v>
      </c>
      <c r="AA19" s="4" t="str">
        <f t="shared" si="15"/>
        <v>人民币</v>
      </c>
      <c r="AB19" s="4" t="str">
        <f t="shared" si="16"/>
        <v>A368402599</v>
      </c>
    </row>
    <row r="20" spans="1:28">
      <c r="A20" s="4" t="str">
        <f>"20210427"</f>
        <v>20210427</v>
      </c>
      <c r="B20" s="4" t="str">
        <f>"20210427"</f>
        <v>20210427</v>
      </c>
      <c r="C20" s="4" t="str">
        <f t="shared" si="50"/>
        <v>0</v>
      </c>
      <c r="D20" s="4" t="str">
        <f t="shared" si="51"/>
        <v>00:00:00</v>
      </c>
      <c r="E20" s="4" t="str">
        <f t="shared" si="52"/>
        <v>港股通组合费</v>
      </c>
      <c r="F20" s="4" t="str">
        <f t="shared" si="53"/>
        <v/>
      </c>
      <c r="G20" s="4" t="str">
        <f t="shared" si="54"/>
        <v/>
      </c>
      <c r="H20" s="4" t="str">
        <f t="shared" si="55"/>
        <v>0.00</v>
      </c>
      <c r="I20" s="4" t="str">
        <f t="shared" si="56"/>
        <v>0</v>
      </c>
      <c r="J20" s="4" t="str">
        <f t="shared" si="45"/>
        <v>0.05</v>
      </c>
      <c r="K20" s="4" t="str">
        <f t="shared" si="46"/>
        <v>-0.05</v>
      </c>
      <c r="L20" s="4" t="str">
        <f t="shared" ref="L20:W20" si="63">"0.00"</f>
        <v>0.00</v>
      </c>
      <c r="M20" s="4" t="str">
        <f t="shared" si="58"/>
        <v>0.000</v>
      </c>
      <c r="N20" s="4" t="str">
        <f t="shared" si="48"/>
        <v>4.95</v>
      </c>
      <c r="O20" s="4" t="str">
        <f t="shared" si="59"/>
        <v>0</v>
      </c>
      <c r="P20" s="4" t="str">
        <f t="shared" si="63"/>
        <v>0.00</v>
      </c>
      <c r="Q20" s="4" t="str">
        <f t="shared" si="63"/>
        <v>0.00</v>
      </c>
      <c r="R20" s="4" t="str">
        <f t="shared" si="63"/>
        <v>0.00</v>
      </c>
      <c r="S20" s="4" t="str">
        <f t="shared" si="63"/>
        <v>0.00</v>
      </c>
      <c r="T20" s="4" t="str">
        <f t="shared" si="63"/>
        <v>0.00</v>
      </c>
      <c r="U20" s="4" t="str">
        <f t="shared" si="63"/>
        <v>0.00</v>
      </c>
      <c r="V20" s="4" t="str">
        <f t="shared" si="63"/>
        <v>0.00</v>
      </c>
      <c r="W20" s="4" t="str">
        <f t="shared" si="63"/>
        <v>0.00</v>
      </c>
      <c r="X20" s="4" t="str">
        <f t="shared" si="60"/>
        <v>0.00000</v>
      </c>
      <c r="Y20" s="4" t="str">
        <f t="shared" si="61"/>
        <v>0</v>
      </c>
      <c r="Z20" s="4" t="str">
        <f t="shared" si="62"/>
        <v>0</v>
      </c>
      <c r="AA20" s="4" t="str">
        <f t="shared" si="15"/>
        <v>人民币</v>
      </c>
      <c r="AB20" s="4" t="str">
        <f t="shared" si="16"/>
        <v>A368402599</v>
      </c>
    </row>
    <row r="21" spans="1:28">
      <c r="A21" s="4" t="str">
        <f>"20210428"</f>
        <v>20210428</v>
      </c>
      <c r="B21" s="4" t="str">
        <f>"20210428"</f>
        <v>20210428</v>
      </c>
      <c r="C21" s="4" t="str">
        <f t="shared" si="50"/>
        <v>0</v>
      </c>
      <c r="D21" s="4" t="str">
        <f t="shared" si="51"/>
        <v>00:00:00</v>
      </c>
      <c r="E21" s="4" t="str">
        <f t="shared" si="52"/>
        <v>港股通组合费</v>
      </c>
      <c r="F21" s="4" t="str">
        <f t="shared" si="53"/>
        <v/>
      </c>
      <c r="G21" s="4" t="str">
        <f t="shared" si="54"/>
        <v/>
      </c>
      <c r="H21" s="4" t="str">
        <f t="shared" si="55"/>
        <v>0.00</v>
      </c>
      <c r="I21" s="4" t="str">
        <f t="shared" si="56"/>
        <v>0</v>
      </c>
      <c r="J21" s="4" t="str">
        <f t="shared" si="45"/>
        <v>0.05</v>
      </c>
      <c r="K21" s="4" t="str">
        <f t="shared" si="46"/>
        <v>-0.05</v>
      </c>
      <c r="L21" s="4" t="str">
        <f t="shared" ref="L21:W21" si="64">"0.00"</f>
        <v>0.00</v>
      </c>
      <c r="M21" s="4" t="str">
        <f t="shared" si="58"/>
        <v>0.000</v>
      </c>
      <c r="N21" s="4" t="str">
        <f t="shared" si="48"/>
        <v>4.95</v>
      </c>
      <c r="O21" s="4" t="str">
        <f t="shared" si="59"/>
        <v>0</v>
      </c>
      <c r="P21" s="4" t="str">
        <f t="shared" si="64"/>
        <v>0.00</v>
      </c>
      <c r="Q21" s="4" t="str">
        <f t="shared" si="64"/>
        <v>0.00</v>
      </c>
      <c r="R21" s="4" t="str">
        <f t="shared" si="64"/>
        <v>0.00</v>
      </c>
      <c r="S21" s="4" t="str">
        <f t="shared" si="64"/>
        <v>0.00</v>
      </c>
      <c r="T21" s="4" t="str">
        <f t="shared" si="64"/>
        <v>0.00</v>
      </c>
      <c r="U21" s="4" t="str">
        <f t="shared" si="64"/>
        <v>0.00</v>
      </c>
      <c r="V21" s="4" t="str">
        <f t="shared" si="64"/>
        <v>0.00</v>
      </c>
      <c r="W21" s="4" t="str">
        <f t="shared" si="64"/>
        <v>0.00</v>
      </c>
      <c r="X21" s="4" t="str">
        <f t="shared" si="60"/>
        <v>0.00000</v>
      </c>
      <c r="Y21" s="4" t="str">
        <f t="shared" si="61"/>
        <v>0</v>
      </c>
      <c r="Z21" s="4" t="str">
        <f t="shared" si="62"/>
        <v>0</v>
      </c>
      <c r="AA21" s="4" t="str">
        <f t="shared" si="15"/>
        <v>人民币</v>
      </c>
      <c r="AB21" s="4" t="str">
        <f t="shared" si="16"/>
        <v>A368402599</v>
      </c>
    </row>
    <row r="22" spans="1:28">
      <c r="A22" s="4" t="str">
        <f>"20210429"</f>
        <v>20210429</v>
      </c>
      <c r="B22" s="4" t="str">
        <f>"20210429"</f>
        <v>20210429</v>
      </c>
      <c r="C22" s="4" t="str">
        <f t="shared" si="50"/>
        <v>0</v>
      </c>
      <c r="D22" s="4" t="str">
        <f t="shared" si="51"/>
        <v>00:00:00</v>
      </c>
      <c r="E22" s="4" t="str">
        <f t="shared" si="52"/>
        <v>港股通组合费</v>
      </c>
      <c r="F22" s="4" t="str">
        <f t="shared" si="53"/>
        <v/>
      </c>
      <c r="G22" s="4" t="str">
        <f t="shared" si="54"/>
        <v/>
      </c>
      <c r="H22" s="4" t="str">
        <f t="shared" si="55"/>
        <v>0.00</v>
      </c>
      <c r="I22" s="4" t="str">
        <f t="shared" si="56"/>
        <v>0</v>
      </c>
      <c r="J22" s="4" t="str">
        <f t="shared" si="45"/>
        <v>0.05</v>
      </c>
      <c r="K22" s="4" t="str">
        <f t="shared" si="46"/>
        <v>-0.05</v>
      </c>
      <c r="L22" s="4" t="str">
        <f t="shared" ref="L22:W22" si="65">"0.00"</f>
        <v>0.00</v>
      </c>
      <c r="M22" s="4" t="str">
        <f t="shared" si="58"/>
        <v>0.000</v>
      </c>
      <c r="N22" s="4" t="str">
        <f t="shared" si="48"/>
        <v>4.95</v>
      </c>
      <c r="O22" s="4" t="str">
        <f t="shared" si="59"/>
        <v>0</v>
      </c>
      <c r="P22" s="4" t="str">
        <f t="shared" si="65"/>
        <v>0.00</v>
      </c>
      <c r="Q22" s="4" t="str">
        <f t="shared" si="65"/>
        <v>0.00</v>
      </c>
      <c r="R22" s="4" t="str">
        <f t="shared" si="65"/>
        <v>0.00</v>
      </c>
      <c r="S22" s="4" t="str">
        <f t="shared" si="65"/>
        <v>0.00</v>
      </c>
      <c r="T22" s="4" t="str">
        <f t="shared" si="65"/>
        <v>0.00</v>
      </c>
      <c r="U22" s="4" t="str">
        <f t="shared" si="65"/>
        <v>0.00</v>
      </c>
      <c r="V22" s="4" t="str">
        <f t="shared" si="65"/>
        <v>0.00</v>
      </c>
      <c r="W22" s="4" t="str">
        <f t="shared" si="65"/>
        <v>0.00</v>
      </c>
      <c r="X22" s="4" t="str">
        <f t="shared" si="60"/>
        <v>0.00000</v>
      </c>
      <c r="Y22" s="4" t="str">
        <f t="shared" si="61"/>
        <v>0</v>
      </c>
      <c r="Z22" s="4" t="str">
        <f t="shared" si="62"/>
        <v>0</v>
      </c>
      <c r="AA22" s="4" t="str">
        <f t="shared" si="15"/>
        <v>人民币</v>
      </c>
      <c r="AB22" s="4" t="str">
        <f t="shared" si="16"/>
        <v>A368402599</v>
      </c>
    </row>
    <row r="23" spans="1:28">
      <c r="A23" s="4" t="str">
        <f>"20210430"</f>
        <v>20210430</v>
      </c>
      <c r="B23" s="4" t="str">
        <f>"20210430"</f>
        <v>20210430</v>
      </c>
      <c r="C23" s="4" t="str">
        <f t="shared" si="50"/>
        <v>0</v>
      </c>
      <c r="D23" s="4" t="str">
        <f t="shared" si="51"/>
        <v>00:00:00</v>
      </c>
      <c r="E23" s="4" t="str">
        <f t="shared" si="52"/>
        <v>港股通组合费</v>
      </c>
      <c r="F23" s="4" t="str">
        <f t="shared" si="53"/>
        <v/>
      </c>
      <c r="G23" s="4" t="str">
        <f t="shared" si="54"/>
        <v/>
      </c>
      <c r="H23" s="4" t="str">
        <f t="shared" si="55"/>
        <v>0.00</v>
      </c>
      <c r="I23" s="4" t="str">
        <f t="shared" si="56"/>
        <v>0</v>
      </c>
      <c r="J23" s="4" t="str">
        <f t="shared" si="45"/>
        <v>0.05</v>
      </c>
      <c r="K23" s="4" t="str">
        <f t="shared" si="46"/>
        <v>-0.05</v>
      </c>
      <c r="L23" s="4" t="str">
        <f t="shared" ref="L23:W23" si="66">"0.00"</f>
        <v>0.00</v>
      </c>
      <c r="M23" s="4" t="str">
        <f t="shared" si="58"/>
        <v>0.000</v>
      </c>
      <c r="N23" s="4" t="str">
        <f t="shared" si="48"/>
        <v>4.95</v>
      </c>
      <c r="O23" s="4" t="str">
        <f t="shared" si="59"/>
        <v>0</v>
      </c>
      <c r="P23" s="4" t="str">
        <f t="shared" si="66"/>
        <v>0.00</v>
      </c>
      <c r="Q23" s="4" t="str">
        <f t="shared" si="66"/>
        <v>0.00</v>
      </c>
      <c r="R23" s="4" t="str">
        <f t="shared" si="66"/>
        <v>0.00</v>
      </c>
      <c r="S23" s="4" t="str">
        <f t="shared" si="66"/>
        <v>0.00</v>
      </c>
      <c r="T23" s="4" t="str">
        <f t="shared" si="66"/>
        <v>0.00</v>
      </c>
      <c r="U23" s="4" t="str">
        <f t="shared" si="66"/>
        <v>0.00</v>
      </c>
      <c r="V23" s="4" t="str">
        <f t="shared" si="66"/>
        <v>0.00</v>
      </c>
      <c r="W23" s="4" t="str">
        <f t="shared" si="66"/>
        <v>0.00</v>
      </c>
      <c r="X23" s="4" t="str">
        <f t="shared" si="60"/>
        <v>0.00000</v>
      </c>
      <c r="Y23" s="4" t="str">
        <f t="shared" si="61"/>
        <v>0</v>
      </c>
      <c r="Z23" s="4" t="str">
        <f t="shared" si="62"/>
        <v>0</v>
      </c>
      <c r="AA23" s="4" t="str">
        <f t="shared" si="15"/>
        <v>人民币</v>
      </c>
      <c r="AB23" s="4" t="str">
        <f t="shared" si="16"/>
        <v>A368402599</v>
      </c>
    </row>
    <row r="24" spans="1:28">
      <c r="A24" s="4" t="str">
        <f>"20210506"</f>
        <v>20210506</v>
      </c>
      <c r="B24" s="4" t="str">
        <f>"20210506"</f>
        <v>20210506</v>
      </c>
      <c r="C24" s="4" t="str">
        <f t="shared" si="50"/>
        <v>0</v>
      </c>
      <c r="D24" s="4" t="str">
        <f t="shared" si="51"/>
        <v>00:00:00</v>
      </c>
      <c r="E24" s="4" t="str">
        <f t="shared" si="52"/>
        <v>港股通组合费</v>
      </c>
      <c r="F24" s="4" t="str">
        <f t="shared" si="53"/>
        <v/>
      </c>
      <c r="G24" s="4" t="str">
        <f t="shared" si="54"/>
        <v/>
      </c>
      <c r="H24" s="4" t="str">
        <f t="shared" si="55"/>
        <v>0.00</v>
      </c>
      <c r="I24" s="4" t="str">
        <f t="shared" si="56"/>
        <v>0</v>
      </c>
      <c r="J24" s="4" t="str">
        <f>"0.30"</f>
        <v>0.30</v>
      </c>
      <c r="K24" s="4" t="str">
        <f>"-0.30"</f>
        <v>-0.30</v>
      </c>
      <c r="L24" s="4" t="str">
        <f t="shared" ref="L24:W24" si="67">"0.00"</f>
        <v>0.00</v>
      </c>
      <c r="M24" s="4" t="str">
        <f t="shared" si="58"/>
        <v>0.000</v>
      </c>
      <c r="N24" s="4" t="str">
        <f>"4.70"</f>
        <v>4.70</v>
      </c>
      <c r="O24" s="4" t="str">
        <f t="shared" si="59"/>
        <v>0</v>
      </c>
      <c r="P24" s="4" t="str">
        <f t="shared" si="67"/>
        <v>0.00</v>
      </c>
      <c r="Q24" s="4" t="str">
        <f t="shared" si="67"/>
        <v>0.00</v>
      </c>
      <c r="R24" s="4" t="str">
        <f t="shared" si="67"/>
        <v>0.00</v>
      </c>
      <c r="S24" s="4" t="str">
        <f t="shared" si="67"/>
        <v>0.00</v>
      </c>
      <c r="T24" s="4" t="str">
        <f t="shared" si="67"/>
        <v>0.00</v>
      </c>
      <c r="U24" s="4" t="str">
        <f t="shared" si="67"/>
        <v>0.00</v>
      </c>
      <c r="V24" s="4" t="str">
        <f t="shared" si="67"/>
        <v>0.00</v>
      </c>
      <c r="W24" s="4" t="str">
        <f t="shared" si="67"/>
        <v>0.00</v>
      </c>
      <c r="X24" s="4" t="str">
        <f t="shared" si="60"/>
        <v>0.00000</v>
      </c>
      <c r="Y24" s="4" t="str">
        <f t="shared" si="61"/>
        <v>0</v>
      </c>
      <c r="Z24" s="4" t="str">
        <f t="shared" si="62"/>
        <v>0</v>
      </c>
      <c r="AA24" s="4" t="str">
        <f t="shared" si="15"/>
        <v>人民币</v>
      </c>
      <c r="AB24" s="4" t="str">
        <f t="shared" si="16"/>
        <v>A368402599</v>
      </c>
    </row>
    <row r="25" spans="1:28">
      <c r="A25" s="4" t="str">
        <f>"20210507"</f>
        <v>20210507</v>
      </c>
      <c r="B25" s="4" t="str">
        <f>"20210507"</f>
        <v>20210507</v>
      </c>
      <c r="C25" s="4" t="str">
        <f t="shared" si="50"/>
        <v>0</v>
      </c>
      <c r="D25" s="4" t="str">
        <f t="shared" si="51"/>
        <v>00:00:00</v>
      </c>
      <c r="E25" s="4" t="str">
        <f t="shared" si="52"/>
        <v>港股通组合费</v>
      </c>
      <c r="F25" s="4" t="str">
        <f t="shared" si="53"/>
        <v/>
      </c>
      <c r="G25" s="4" t="str">
        <f t="shared" si="54"/>
        <v/>
      </c>
      <c r="H25" s="4" t="str">
        <f t="shared" si="55"/>
        <v>0.00</v>
      </c>
      <c r="I25" s="4" t="str">
        <f t="shared" si="56"/>
        <v>0</v>
      </c>
      <c r="J25" s="4" t="str">
        <f t="shared" ref="J25:J30" si="68">"0.05"</f>
        <v>0.05</v>
      </c>
      <c r="K25" s="4" t="str">
        <f t="shared" ref="K25:K30" si="69">"-0.05"</f>
        <v>-0.05</v>
      </c>
      <c r="L25" s="4" t="str">
        <f t="shared" ref="L25:W25" si="70">"0.00"</f>
        <v>0.00</v>
      </c>
      <c r="M25" s="4" t="str">
        <f t="shared" si="58"/>
        <v>0.000</v>
      </c>
      <c r="N25" s="4" t="str">
        <f t="shared" ref="N25:N30" si="71">"4.95"</f>
        <v>4.95</v>
      </c>
      <c r="O25" s="4" t="str">
        <f t="shared" si="59"/>
        <v>0</v>
      </c>
      <c r="P25" s="4" t="str">
        <f t="shared" si="70"/>
        <v>0.00</v>
      </c>
      <c r="Q25" s="4" t="str">
        <f t="shared" si="70"/>
        <v>0.00</v>
      </c>
      <c r="R25" s="4" t="str">
        <f t="shared" si="70"/>
        <v>0.00</v>
      </c>
      <c r="S25" s="4" t="str">
        <f t="shared" si="70"/>
        <v>0.00</v>
      </c>
      <c r="T25" s="4" t="str">
        <f t="shared" si="70"/>
        <v>0.00</v>
      </c>
      <c r="U25" s="4" t="str">
        <f t="shared" si="70"/>
        <v>0.00</v>
      </c>
      <c r="V25" s="4" t="str">
        <f t="shared" si="70"/>
        <v>0.00</v>
      </c>
      <c r="W25" s="4" t="str">
        <f t="shared" si="70"/>
        <v>0.00</v>
      </c>
      <c r="X25" s="4" t="str">
        <f t="shared" si="60"/>
        <v>0.00000</v>
      </c>
      <c r="Y25" s="4" t="str">
        <f t="shared" si="61"/>
        <v>0</v>
      </c>
      <c r="Z25" s="4" t="str">
        <f t="shared" si="62"/>
        <v>0</v>
      </c>
      <c r="AA25" s="4" t="str">
        <f t="shared" si="15"/>
        <v>人民币</v>
      </c>
      <c r="AB25" s="4" t="str">
        <f t="shared" si="16"/>
        <v>A368402599</v>
      </c>
    </row>
    <row r="26" spans="1:28">
      <c r="A26" s="4" t="str">
        <f>"20210510"</f>
        <v>20210510</v>
      </c>
      <c r="B26" s="4" t="str">
        <f>"20210510"</f>
        <v>20210510</v>
      </c>
      <c r="C26" s="4" t="str">
        <f t="shared" si="50"/>
        <v>0</v>
      </c>
      <c r="D26" s="4" t="str">
        <f t="shared" si="51"/>
        <v>00:00:00</v>
      </c>
      <c r="E26" s="4" t="str">
        <f t="shared" si="52"/>
        <v>港股通组合费</v>
      </c>
      <c r="F26" s="4" t="str">
        <f t="shared" si="53"/>
        <v/>
      </c>
      <c r="G26" s="4" t="str">
        <f t="shared" si="54"/>
        <v/>
      </c>
      <c r="H26" s="4" t="str">
        <f t="shared" si="55"/>
        <v>0.00</v>
      </c>
      <c r="I26" s="4" t="str">
        <f t="shared" si="56"/>
        <v>0</v>
      </c>
      <c r="J26" s="4" t="str">
        <f>"0.15"</f>
        <v>0.15</v>
      </c>
      <c r="K26" s="4" t="str">
        <f>"-0.15"</f>
        <v>-0.15</v>
      </c>
      <c r="L26" s="4" t="str">
        <f t="shared" ref="L26:W26" si="72">"0.00"</f>
        <v>0.00</v>
      </c>
      <c r="M26" s="4" t="str">
        <f t="shared" si="58"/>
        <v>0.000</v>
      </c>
      <c r="N26" s="4" t="str">
        <f>"4.85"</f>
        <v>4.85</v>
      </c>
      <c r="O26" s="4" t="str">
        <f t="shared" si="59"/>
        <v>0</v>
      </c>
      <c r="P26" s="4" t="str">
        <f t="shared" si="72"/>
        <v>0.00</v>
      </c>
      <c r="Q26" s="4" t="str">
        <f t="shared" si="72"/>
        <v>0.00</v>
      </c>
      <c r="R26" s="4" t="str">
        <f t="shared" si="72"/>
        <v>0.00</v>
      </c>
      <c r="S26" s="4" t="str">
        <f t="shared" si="72"/>
        <v>0.00</v>
      </c>
      <c r="T26" s="4" t="str">
        <f t="shared" si="72"/>
        <v>0.00</v>
      </c>
      <c r="U26" s="4" t="str">
        <f t="shared" si="72"/>
        <v>0.00</v>
      </c>
      <c r="V26" s="4" t="str">
        <f t="shared" si="72"/>
        <v>0.00</v>
      </c>
      <c r="W26" s="4" t="str">
        <f t="shared" si="72"/>
        <v>0.00</v>
      </c>
      <c r="X26" s="4" t="str">
        <f t="shared" si="60"/>
        <v>0.00000</v>
      </c>
      <c r="Y26" s="4" t="str">
        <f t="shared" si="61"/>
        <v>0</v>
      </c>
      <c r="Z26" s="4" t="str">
        <f t="shared" si="62"/>
        <v>0</v>
      </c>
      <c r="AA26" s="4" t="str">
        <f t="shared" si="15"/>
        <v>人民币</v>
      </c>
      <c r="AB26" s="4" t="str">
        <f t="shared" si="16"/>
        <v>A368402599</v>
      </c>
    </row>
    <row r="27" spans="1:28">
      <c r="A27" s="4" t="str">
        <f>"20210511"</f>
        <v>20210511</v>
      </c>
      <c r="B27" s="4" t="str">
        <f>"20210511"</f>
        <v>20210511</v>
      </c>
      <c r="C27" s="4" t="str">
        <f t="shared" si="50"/>
        <v>0</v>
      </c>
      <c r="D27" s="4" t="str">
        <f t="shared" si="51"/>
        <v>00:00:00</v>
      </c>
      <c r="E27" s="4" t="str">
        <f t="shared" si="52"/>
        <v>港股通组合费</v>
      </c>
      <c r="F27" s="4" t="str">
        <f t="shared" si="53"/>
        <v/>
      </c>
      <c r="G27" s="4" t="str">
        <f t="shared" si="54"/>
        <v/>
      </c>
      <c r="H27" s="4" t="str">
        <f t="shared" si="55"/>
        <v>0.00</v>
      </c>
      <c r="I27" s="4" t="str">
        <f t="shared" si="56"/>
        <v>0</v>
      </c>
      <c r="J27" s="4" t="str">
        <f t="shared" si="68"/>
        <v>0.05</v>
      </c>
      <c r="K27" s="4" t="str">
        <f t="shared" si="69"/>
        <v>-0.05</v>
      </c>
      <c r="L27" s="4" t="str">
        <f t="shared" ref="L27:W27" si="73">"0.00"</f>
        <v>0.00</v>
      </c>
      <c r="M27" s="4" t="str">
        <f t="shared" si="58"/>
        <v>0.000</v>
      </c>
      <c r="N27" s="4" t="str">
        <f t="shared" si="71"/>
        <v>4.95</v>
      </c>
      <c r="O27" s="4" t="str">
        <f t="shared" si="59"/>
        <v>0</v>
      </c>
      <c r="P27" s="4" t="str">
        <f t="shared" si="73"/>
        <v>0.00</v>
      </c>
      <c r="Q27" s="4" t="str">
        <f t="shared" si="73"/>
        <v>0.00</v>
      </c>
      <c r="R27" s="4" t="str">
        <f t="shared" si="73"/>
        <v>0.00</v>
      </c>
      <c r="S27" s="4" t="str">
        <f t="shared" si="73"/>
        <v>0.00</v>
      </c>
      <c r="T27" s="4" t="str">
        <f t="shared" si="73"/>
        <v>0.00</v>
      </c>
      <c r="U27" s="4" t="str">
        <f t="shared" si="73"/>
        <v>0.00</v>
      </c>
      <c r="V27" s="4" t="str">
        <f t="shared" si="73"/>
        <v>0.00</v>
      </c>
      <c r="W27" s="4" t="str">
        <f t="shared" si="73"/>
        <v>0.00</v>
      </c>
      <c r="X27" s="4" t="str">
        <f t="shared" si="60"/>
        <v>0.00000</v>
      </c>
      <c r="Y27" s="4" t="str">
        <f t="shared" si="61"/>
        <v>0</v>
      </c>
      <c r="Z27" s="4" t="str">
        <f t="shared" si="62"/>
        <v>0</v>
      </c>
      <c r="AA27" s="4" t="str">
        <f t="shared" si="15"/>
        <v>人民币</v>
      </c>
      <c r="AB27" s="4" t="str">
        <f t="shared" si="16"/>
        <v>A368402599</v>
      </c>
    </row>
    <row r="28" spans="1:28">
      <c r="A28" s="4" t="str">
        <f>"20210512"</f>
        <v>20210512</v>
      </c>
      <c r="B28" s="4" t="str">
        <f>"20210512"</f>
        <v>20210512</v>
      </c>
      <c r="C28" s="4" t="str">
        <f t="shared" si="50"/>
        <v>0</v>
      </c>
      <c r="D28" s="4" t="str">
        <f t="shared" si="51"/>
        <v>00:00:00</v>
      </c>
      <c r="E28" s="4" t="str">
        <f t="shared" si="52"/>
        <v>港股通组合费</v>
      </c>
      <c r="F28" s="4" t="str">
        <f t="shared" si="53"/>
        <v/>
      </c>
      <c r="G28" s="4" t="str">
        <f t="shared" si="54"/>
        <v/>
      </c>
      <c r="H28" s="4" t="str">
        <f t="shared" si="55"/>
        <v>0.00</v>
      </c>
      <c r="I28" s="4" t="str">
        <f t="shared" si="56"/>
        <v>0</v>
      </c>
      <c r="J28" s="4" t="str">
        <f t="shared" si="68"/>
        <v>0.05</v>
      </c>
      <c r="K28" s="4" t="str">
        <f t="shared" si="69"/>
        <v>-0.05</v>
      </c>
      <c r="L28" s="4" t="str">
        <f t="shared" ref="L28:W28" si="74">"0.00"</f>
        <v>0.00</v>
      </c>
      <c r="M28" s="4" t="str">
        <f t="shared" si="58"/>
        <v>0.000</v>
      </c>
      <c r="N28" s="4" t="str">
        <f t="shared" si="71"/>
        <v>4.95</v>
      </c>
      <c r="O28" s="4" t="str">
        <f t="shared" si="59"/>
        <v>0</v>
      </c>
      <c r="P28" s="4" t="str">
        <f t="shared" si="74"/>
        <v>0.00</v>
      </c>
      <c r="Q28" s="4" t="str">
        <f t="shared" si="74"/>
        <v>0.00</v>
      </c>
      <c r="R28" s="4" t="str">
        <f t="shared" si="74"/>
        <v>0.00</v>
      </c>
      <c r="S28" s="4" t="str">
        <f t="shared" si="74"/>
        <v>0.00</v>
      </c>
      <c r="T28" s="4" t="str">
        <f t="shared" si="74"/>
        <v>0.00</v>
      </c>
      <c r="U28" s="4" t="str">
        <f t="shared" si="74"/>
        <v>0.00</v>
      </c>
      <c r="V28" s="4" t="str">
        <f t="shared" si="74"/>
        <v>0.00</v>
      </c>
      <c r="W28" s="4" t="str">
        <f t="shared" si="74"/>
        <v>0.00</v>
      </c>
      <c r="X28" s="4" t="str">
        <f t="shared" si="60"/>
        <v>0.00000</v>
      </c>
      <c r="Y28" s="4" t="str">
        <f t="shared" si="61"/>
        <v>0</v>
      </c>
      <c r="Z28" s="4" t="str">
        <f t="shared" si="62"/>
        <v>0</v>
      </c>
      <c r="AA28" s="4" t="str">
        <f t="shared" si="15"/>
        <v>人民币</v>
      </c>
      <c r="AB28" s="4" t="str">
        <f t="shared" si="16"/>
        <v>A368402599</v>
      </c>
    </row>
    <row r="29" spans="1:28">
      <c r="A29" s="4" t="str">
        <f>"20210513"</f>
        <v>20210513</v>
      </c>
      <c r="B29" s="4" t="str">
        <f>"20210513"</f>
        <v>20210513</v>
      </c>
      <c r="C29" s="4" t="str">
        <f t="shared" si="50"/>
        <v>0</v>
      </c>
      <c r="D29" s="4" t="str">
        <f t="shared" si="51"/>
        <v>00:00:00</v>
      </c>
      <c r="E29" s="4" t="str">
        <f t="shared" si="52"/>
        <v>港股通组合费</v>
      </c>
      <c r="F29" s="4" t="str">
        <f t="shared" si="53"/>
        <v/>
      </c>
      <c r="G29" s="4" t="str">
        <f t="shared" si="54"/>
        <v/>
      </c>
      <c r="H29" s="4" t="str">
        <f t="shared" si="55"/>
        <v>0.00</v>
      </c>
      <c r="I29" s="4" t="str">
        <f t="shared" si="56"/>
        <v>0</v>
      </c>
      <c r="J29" s="4" t="str">
        <f t="shared" si="68"/>
        <v>0.05</v>
      </c>
      <c r="K29" s="4" t="str">
        <f t="shared" si="69"/>
        <v>-0.05</v>
      </c>
      <c r="L29" s="4" t="str">
        <f t="shared" ref="L29:W29" si="75">"0.00"</f>
        <v>0.00</v>
      </c>
      <c r="M29" s="4" t="str">
        <f t="shared" si="58"/>
        <v>0.000</v>
      </c>
      <c r="N29" s="4" t="str">
        <f t="shared" si="71"/>
        <v>4.95</v>
      </c>
      <c r="O29" s="4" t="str">
        <f t="shared" si="59"/>
        <v>0</v>
      </c>
      <c r="P29" s="4" t="str">
        <f t="shared" si="75"/>
        <v>0.00</v>
      </c>
      <c r="Q29" s="4" t="str">
        <f t="shared" si="75"/>
        <v>0.00</v>
      </c>
      <c r="R29" s="4" t="str">
        <f t="shared" si="75"/>
        <v>0.00</v>
      </c>
      <c r="S29" s="4" t="str">
        <f t="shared" si="75"/>
        <v>0.00</v>
      </c>
      <c r="T29" s="4" t="str">
        <f t="shared" si="75"/>
        <v>0.00</v>
      </c>
      <c r="U29" s="4" t="str">
        <f t="shared" si="75"/>
        <v>0.00</v>
      </c>
      <c r="V29" s="4" t="str">
        <f t="shared" si="75"/>
        <v>0.00</v>
      </c>
      <c r="W29" s="4" t="str">
        <f t="shared" si="75"/>
        <v>0.00</v>
      </c>
      <c r="X29" s="4" t="str">
        <f t="shared" si="60"/>
        <v>0.00000</v>
      </c>
      <c r="Y29" s="4" t="str">
        <f t="shared" si="61"/>
        <v>0</v>
      </c>
      <c r="Z29" s="4" t="str">
        <f t="shared" si="62"/>
        <v>0</v>
      </c>
      <c r="AA29" s="4" t="str">
        <f t="shared" si="15"/>
        <v>人民币</v>
      </c>
      <c r="AB29" s="4" t="str">
        <f t="shared" si="16"/>
        <v>A368402599</v>
      </c>
    </row>
    <row r="30" spans="1:28">
      <c r="A30" s="4" t="str">
        <f>"20210514"</f>
        <v>20210514</v>
      </c>
      <c r="B30" s="4" t="str">
        <f>"20210514"</f>
        <v>20210514</v>
      </c>
      <c r="C30" s="4" t="str">
        <f t="shared" si="50"/>
        <v>0</v>
      </c>
      <c r="D30" s="4" t="str">
        <f t="shared" si="51"/>
        <v>00:00:00</v>
      </c>
      <c r="E30" s="4" t="str">
        <f t="shared" si="52"/>
        <v>港股通组合费</v>
      </c>
      <c r="F30" s="4" t="str">
        <f t="shared" si="53"/>
        <v/>
      </c>
      <c r="G30" s="4" t="str">
        <f t="shared" si="54"/>
        <v/>
      </c>
      <c r="H30" s="4" t="str">
        <f t="shared" si="55"/>
        <v>0.00</v>
      </c>
      <c r="I30" s="4" t="str">
        <f t="shared" si="56"/>
        <v>0</v>
      </c>
      <c r="J30" s="4" t="str">
        <f t="shared" si="68"/>
        <v>0.05</v>
      </c>
      <c r="K30" s="4" t="str">
        <f t="shared" si="69"/>
        <v>-0.05</v>
      </c>
      <c r="L30" s="4" t="str">
        <f t="shared" ref="L30:W30" si="76">"0.00"</f>
        <v>0.00</v>
      </c>
      <c r="M30" s="4" t="str">
        <f t="shared" si="58"/>
        <v>0.000</v>
      </c>
      <c r="N30" s="4" t="str">
        <f t="shared" si="71"/>
        <v>4.95</v>
      </c>
      <c r="O30" s="4" t="str">
        <f t="shared" si="59"/>
        <v>0</v>
      </c>
      <c r="P30" s="4" t="str">
        <f t="shared" si="76"/>
        <v>0.00</v>
      </c>
      <c r="Q30" s="4" t="str">
        <f t="shared" si="76"/>
        <v>0.00</v>
      </c>
      <c r="R30" s="4" t="str">
        <f t="shared" si="76"/>
        <v>0.00</v>
      </c>
      <c r="S30" s="4" t="str">
        <f t="shared" si="76"/>
        <v>0.00</v>
      </c>
      <c r="T30" s="4" t="str">
        <f t="shared" si="76"/>
        <v>0.00</v>
      </c>
      <c r="U30" s="4" t="str">
        <f t="shared" si="76"/>
        <v>0.00</v>
      </c>
      <c r="V30" s="4" t="str">
        <f t="shared" si="76"/>
        <v>0.00</v>
      </c>
      <c r="W30" s="4" t="str">
        <f t="shared" si="76"/>
        <v>0.00</v>
      </c>
      <c r="X30" s="4" t="str">
        <f t="shared" si="60"/>
        <v>0.00000</v>
      </c>
      <c r="Y30" s="4" t="str">
        <f t="shared" si="61"/>
        <v>0</v>
      </c>
      <c r="Z30" s="4" t="str">
        <f t="shared" si="62"/>
        <v>0</v>
      </c>
      <c r="AA30" s="4" t="str">
        <f t="shared" si="15"/>
        <v>人民币</v>
      </c>
      <c r="AB30" s="4" t="str">
        <f t="shared" si="16"/>
        <v>A368402599</v>
      </c>
    </row>
    <row r="31" spans="1:28">
      <c r="A31" s="4" t="str">
        <f>"20210517"</f>
        <v>20210517</v>
      </c>
      <c r="B31" s="4" t="str">
        <f>"20210517"</f>
        <v>20210517</v>
      </c>
      <c r="C31" s="4" t="str">
        <f t="shared" si="50"/>
        <v>0</v>
      </c>
      <c r="D31" s="4" t="str">
        <f t="shared" si="51"/>
        <v>00:00:00</v>
      </c>
      <c r="E31" s="4" t="str">
        <f t="shared" si="52"/>
        <v>港股通组合费</v>
      </c>
      <c r="F31" s="4" t="str">
        <f t="shared" si="53"/>
        <v/>
      </c>
      <c r="G31" s="4" t="str">
        <f t="shared" si="54"/>
        <v/>
      </c>
      <c r="H31" s="4" t="str">
        <f t="shared" si="55"/>
        <v>0.00</v>
      </c>
      <c r="I31" s="4" t="str">
        <f t="shared" si="56"/>
        <v>0</v>
      </c>
      <c r="J31" s="4" t="str">
        <f>"0.15"</f>
        <v>0.15</v>
      </c>
      <c r="K31" s="4" t="str">
        <f>"-0.15"</f>
        <v>-0.15</v>
      </c>
      <c r="L31" s="4" t="str">
        <f t="shared" ref="L31:W31" si="77">"0.00"</f>
        <v>0.00</v>
      </c>
      <c r="M31" s="4" t="str">
        <f t="shared" si="58"/>
        <v>0.000</v>
      </c>
      <c r="N31" s="4" t="str">
        <f>"4.85"</f>
        <v>4.85</v>
      </c>
      <c r="O31" s="4" t="str">
        <f t="shared" si="59"/>
        <v>0</v>
      </c>
      <c r="P31" s="4" t="str">
        <f t="shared" si="77"/>
        <v>0.00</v>
      </c>
      <c r="Q31" s="4" t="str">
        <f t="shared" si="77"/>
        <v>0.00</v>
      </c>
      <c r="R31" s="4" t="str">
        <f t="shared" si="77"/>
        <v>0.00</v>
      </c>
      <c r="S31" s="4" t="str">
        <f t="shared" si="77"/>
        <v>0.00</v>
      </c>
      <c r="T31" s="4" t="str">
        <f t="shared" si="77"/>
        <v>0.00</v>
      </c>
      <c r="U31" s="4" t="str">
        <f t="shared" si="77"/>
        <v>0.00</v>
      </c>
      <c r="V31" s="4" t="str">
        <f t="shared" si="77"/>
        <v>0.00</v>
      </c>
      <c r="W31" s="4" t="str">
        <f t="shared" si="77"/>
        <v>0.00</v>
      </c>
      <c r="X31" s="4" t="str">
        <f t="shared" si="60"/>
        <v>0.00000</v>
      </c>
      <c r="Y31" s="4" t="str">
        <f t="shared" si="61"/>
        <v>0</v>
      </c>
      <c r="Z31" s="4" t="str">
        <f t="shared" si="62"/>
        <v>0</v>
      </c>
      <c r="AA31" s="4" t="str">
        <f t="shared" si="15"/>
        <v>人民币</v>
      </c>
      <c r="AB31" s="4" t="str">
        <f t="shared" si="16"/>
        <v>A368402599</v>
      </c>
    </row>
    <row r="32" spans="1:28">
      <c r="A32" s="4" t="str">
        <f>"20210518"</f>
        <v>20210518</v>
      </c>
      <c r="B32" s="4" t="str">
        <f>"20210518"</f>
        <v>20210518</v>
      </c>
      <c r="C32" s="4" t="str">
        <f t="shared" si="50"/>
        <v>0</v>
      </c>
      <c r="D32" s="4" t="str">
        <f t="shared" si="51"/>
        <v>00:00:00</v>
      </c>
      <c r="E32" s="4" t="str">
        <f t="shared" si="52"/>
        <v>港股通组合费</v>
      </c>
      <c r="F32" s="4" t="str">
        <f t="shared" si="53"/>
        <v/>
      </c>
      <c r="G32" s="4" t="str">
        <f t="shared" si="54"/>
        <v/>
      </c>
      <c r="H32" s="4" t="str">
        <f t="shared" si="55"/>
        <v>0.00</v>
      </c>
      <c r="I32" s="4" t="str">
        <f t="shared" si="56"/>
        <v>0</v>
      </c>
      <c r="J32" s="4" t="str">
        <f t="shared" ref="J32:J39" si="78">"0.05"</f>
        <v>0.05</v>
      </c>
      <c r="K32" s="4" t="str">
        <f t="shared" ref="K32:K39" si="79">"-0.05"</f>
        <v>-0.05</v>
      </c>
      <c r="L32" s="4" t="str">
        <f t="shared" ref="L32:W32" si="80">"0.00"</f>
        <v>0.00</v>
      </c>
      <c r="M32" s="4" t="str">
        <f t="shared" si="58"/>
        <v>0.000</v>
      </c>
      <c r="N32" s="4" t="str">
        <f t="shared" ref="N32:N39" si="81">"4.95"</f>
        <v>4.95</v>
      </c>
      <c r="O32" s="4" t="str">
        <f t="shared" si="59"/>
        <v>0</v>
      </c>
      <c r="P32" s="4" t="str">
        <f t="shared" si="80"/>
        <v>0.00</v>
      </c>
      <c r="Q32" s="4" t="str">
        <f t="shared" si="80"/>
        <v>0.00</v>
      </c>
      <c r="R32" s="4" t="str">
        <f t="shared" si="80"/>
        <v>0.00</v>
      </c>
      <c r="S32" s="4" t="str">
        <f t="shared" si="80"/>
        <v>0.00</v>
      </c>
      <c r="T32" s="4" t="str">
        <f t="shared" si="80"/>
        <v>0.00</v>
      </c>
      <c r="U32" s="4" t="str">
        <f t="shared" si="80"/>
        <v>0.00</v>
      </c>
      <c r="V32" s="4" t="str">
        <f t="shared" si="80"/>
        <v>0.00</v>
      </c>
      <c r="W32" s="4" t="str">
        <f t="shared" si="80"/>
        <v>0.00</v>
      </c>
      <c r="X32" s="4" t="str">
        <f t="shared" si="60"/>
        <v>0.00000</v>
      </c>
      <c r="Y32" s="4" t="str">
        <f t="shared" si="61"/>
        <v>0</v>
      </c>
      <c r="Z32" s="4" t="str">
        <f t="shared" si="62"/>
        <v>0</v>
      </c>
      <c r="AA32" s="4" t="str">
        <f t="shared" si="15"/>
        <v>人民币</v>
      </c>
      <c r="AB32" s="4" t="str">
        <f t="shared" si="16"/>
        <v>A368402599</v>
      </c>
    </row>
    <row r="33" spans="1:28">
      <c r="A33" s="4" t="str">
        <f>"20210520"</f>
        <v>20210520</v>
      </c>
      <c r="B33" s="4" t="str">
        <f>"20210520"</f>
        <v>20210520</v>
      </c>
      <c r="C33" s="4" t="str">
        <f t="shared" si="50"/>
        <v>0</v>
      </c>
      <c r="D33" s="4" t="str">
        <f t="shared" si="51"/>
        <v>00:00:00</v>
      </c>
      <c r="E33" s="4" t="str">
        <f t="shared" si="52"/>
        <v>港股通组合费</v>
      </c>
      <c r="F33" s="4" t="str">
        <f t="shared" si="53"/>
        <v/>
      </c>
      <c r="G33" s="4" t="str">
        <f t="shared" si="54"/>
        <v/>
      </c>
      <c r="H33" s="4" t="str">
        <f t="shared" si="55"/>
        <v>0.00</v>
      </c>
      <c r="I33" s="4" t="str">
        <f t="shared" si="56"/>
        <v>0</v>
      </c>
      <c r="J33" s="4" t="str">
        <f>"0.10"</f>
        <v>0.10</v>
      </c>
      <c r="K33" s="4" t="str">
        <f>"-0.10"</f>
        <v>-0.10</v>
      </c>
      <c r="L33" s="4" t="str">
        <f t="shared" ref="L33:W33" si="82">"0.00"</f>
        <v>0.00</v>
      </c>
      <c r="M33" s="4" t="str">
        <f t="shared" si="58"/>
        <v>0.000</v>
      </c>
      <c r="N33" s="4" t="str">
        <f>"4.90"</f>
        <v>4.90</v>
      </c>
      <c r="O33" s="4" t="str">
        <f t="shared" si="59"/>
        <v>0</v>
      </c>
      <c r="P33" s="4" t="str">
        <f t="shared" si="82"/>
        <v>0.00</v>
      </c>
      <c r="Q33" s="4" t="str">
        <f t="shared" si="82"/>
        <v>0.00</v>
      </c>
      <c r="R33" s="4" t="str">
        <f t="shared" si="82"/>
        <v>0.00</v>
      </c>
      <c r="S33" s="4" t="str">
        <f t="shared" si="82"/>
        <v>0.00</v>
      </c>
      <c r="T33" s="4" t="str">
        <f t="shared" si="82"/>
        <v>0.00</v>
      </c>
      <c r="U33" s="4" t="str">
        <f t="shared" si="82"/>
        <v>0.00</v>
      </c>
      <c r="V33" s="4" t="str">
        <f t="shared" si="82"/>
        <v>0.00</v>
      </c>
      <c r="W33" s="4" t="str">
        <f t="shared" si="82"/>
        <v>0.00</v>
      </c>
      <c r="X33" s="4" t="str">
        <f t="shared" si="60"/>
        <v>0.00000</v>
      </c>
      <c r="Y33" s="4" t="str">
        <f t="shared" si="61"/>
        <v>0</v>
      </c>
      <c r="Z33" s="4" t="str">
        <f t="shared" si="62"/>
        <v>0</v>
      </c>
      <c r="AA33" s="4" t="str">
        <f t="shared" si="15"/>
        <v>人民币</v>
      </c>
      <c r="AB33" s="4" t="str">
        <f t="shared" si="16"/>
        <v>A368402599</v>
      </c>
    </row>
    <row r="34" spans="1:28">
      <c r="A34" s="4" t="str">
        <f>"20210521"</f>
        <v>20210521</v>
      </c>
      <c r="B34" s="4" t="str">
        <f>"20210521"</f>
        <v>20210521</v>
      </c>
      <c r="C34" s="4" t="str">
        <f t="shared" si="50"/>
        <v>0</v>
      </c>
      <c r="D34" s="4" t="str">
        <f t="shared" si="51"/>
        <v>00:00:00</v>
      </c>
      <c r="E34" s="4" t="str">
        <f t="shared" si="52"/>
        <v>港股通组合费</v>
      </c>
      <c r="F34" s="4" t="str">
        <f t="shared" si="53"/>
        <v/>
      </c>
      <c r="G34" s="4" t="str">
        <f t="shared" si="54"/>
        <v/>
      </c>
      <c r="H34" s="4" t="str">
        <f t="shared" si="55"/>
        <v>0.00</v>
      </c>
      <c r="I34" s="4" t="str">
        <f t="shared" si="56"/>
        <v>0</v>
      </c>
      <c r="J34" s="4" t="str">
        <f t="shared" si="78"/>
        <v>0.05</v>
      </c>
      <c r="K34" s="4" t="str">
        <f t="shared" si="79"/>
        <v>-0.05</v>
      </c>
      <c r="L34" s="4" t="str">
        <f t="shared" ref="L34:W34" si="83">"0.00"</f>
        <v>0.00</v>
      </c>
      <c r="M34" s="4" t="str">
        <f t="shared" si="58"/>
        <v>0.000</v>
      </c>
      <c r="N34" s="4" t="str">
        <f t="shared" si="81"/>
        <v>4.95</v>
      </c>
      <c r="O34" s="4" t="str">
        <f t="shared" si="59"/>
        <v>0</v>
      </c>
      <c r="P34" s="4" t="str">
        <f t="shared" si="83"/>
        <v>0.00</v>
      </c>
      <c r="Q34" s="4" t="str">
        <f t="shared" si="83"/>
        <v>0.00</v>
      </c>
      <c r="R34" s="4" t="str">
        <f t="shared" si="83"/>
        <v>0.00</v>
      </c>
      <c r="S34" s="4" t="str">
        <f t="shared" si="83"/>
        <v>0.00</v>
      </c>
      <c r="T34" s="4" t="str">
        <f t="shared" si="83"/>
        <v>0.00</v>
      </c>
      <c r="U34" s="4" t="str">
        <f t="shared" si="83"/>
        <v>0.00</v>
      </c>
      <c r="V34" s="4" t="str">
        <f t="shared" si="83"/>
        <v>0.00</v>
      </c>
      <c r="W34" s="4" t="str">
        <f t="shared" si="83"/>
        <v>0.00</v>
      </c>
      <c r="X34" s="4" t="str">
        <f t="shared" si="60"/>
        <v>0.00000</v>
      </c>
      <c r="Y34" s="4" t="str">
        <f t="shared" si="61"/>
        <v>0</v>
      </c>
      <c r="Z34" s="4" t="str">
        <f t="shared" si="62"/>
        <v>0</v>
      </c>
      <c r="AA34" s="4" t="str">
        <f t="shared" si="15"/>
        <v>人民币</v>
      </c>
      <c r="AB34" s="4" t="str">
        <f t="shared" si="16"/>
        <v>A368402599</v>
      </c>
    </row>
    <row r="35" spans="1:28">
      <c r="A35" s="4" t="str">
        <f>"20210524"</f>
        <v>20210524</v>
      </c>
      <c r="B35" s="4" t="str">
        <f>"20210524"</f>
        <v>20210524</v>
      </c>
      <c r="C35" s="4" t="str">
        <f t="shared" si="50"/>
        <v>0</v>
      </c>
      <c r="D35" s="4" t="str">
        <f t="shared" si="51"/>
        <v>00:00:00</v>
      </c>
      <c r="E35" s="4" t="str">
        <f t="shared" si="52"/>
        <v>港股通组合费</v>
      </c>
      <c r="F35" s="4" t="str">
        <f t="shared" si="53"/>
        <v/>
      </c>
      <c r="G35" s="4" t="str">
        <f t="shared" si="54"/>
        <v/>
      </c>
      <c r="H35" s="4" t="str">
        <f t="shared" si="55"/>
        <v>0.00</v>
      </c>
      <c r="I35" s="4" t="str">
        <f t="shared" si="56"/>
        <v>0</v>
      </c>
      <c r="J35" s="4" t="str">
        <f>"0.15"</f>
        <v>0.15</v>
      </c>
      <c r="K35" s="4" t="str">
        <f>"-0.15"</f>
        <v>-0.15</v>
      </c>
      <c r="L35" s="4" t="str">
        <f t="shared" ref="L35:W35" si="84">"0.00"</f>
        <v>0.00</v>
      </c>
      <c r="M35" s="4" t="str">
        <f t="shared" si="58"/>
        <v>0.000</v>
      </c>
      <c r="N35" s="4" t="str">
        <f>"4.85"</f>
        <v>4.85</v>
      </c>
      <c r="O35" s="4" t="str">
        <f t="shared" si="59"/>
        <v>0</v>
      </c>
      <c r="P35" s="4" t="str">
        <f t="shared" si="84"/>
        <v>0.00</v>
      </c>
      <c r="Q35" s="4" t="str">
        <f t="shared" si="84"/>
        <v>0.00</v>
      </c>
      <c r="R35" s="4" t="str">
        <f t="shared" si="84"/>
        <v>0.00</v>
      </c>
      <c r="S35" s="4" t="str">
        <f t="shared" si="84"/>
        <v>0.00</v>
      </c>
      <c r="T35" s="4" t="str">
        <f t="shared" si="84"/>
        <v>0.00</v>
      </c>
      <c r="U35" s="4" t="str">
        <f t="shared" si="84"/>
        <v>0.00</v>
      </c>
      <c r="V35" s="4" t="str">
        <f t="shared" si="84"/>
        <v>0.00</v>
      </c>
      <c r="W35" s="4" t="str">
        <f t="shared" si="84"/>
        <v>0.00</v>
      </c>
      <c r="X35" s="4" t="str">
        <f t="shared" si="60"/>
        <v>0.00000</v>
      </c>
      <c r="Y35" s="4" t="str">
        <f t="shared" si="61"/>
        <v>0</v>
      </c>
      <c r="Z35" s="4" t="str">
        <f t="shared" si="62"/>
        <v>0</v>
      </c>
      <c r="AA35" s="4" t="str">
        <f t="shared" si="15"/>
        <v>人民币</v>
      </c>
      <c r="AB35" s="4" t="str">
        <f t="shared" si="16"/>
        <v>A368402599</v>
      </c>
    </row>
    <row r="36" spans="1:28">
      <c r="A36" s="4" t="str">
        <f>"20210525"</f>
        <v>20210525</v>
      </c>
      <c r="B36" s="4" t="str">
        <f>"20210525"</f>
        <v>20210525</v>
      </c>
      <c r="C36" s="4" t="str">
        <f t="shared" si="50"/>
        <v>0</v>
      </c>
      <c r="D36" s="4" t="str">
        <f t="shared" si="51"/>
        <v>00:00:00</v>
      </c>
      <c r="E36" s="4" t="str">
        <f t="shared" si="52"/>
        <v>港股通组合费</v>
      </c>
      <c r="F36" s="4" t="str">
        <f t="shared" si="53"/>
        <v/>
      </c>
      <c r="G36" s="4" t="str">
        <f t="shared" si="54"/>
        <v/>
      </c>
      <c r="H36" s="4" t="str">
        <f t="shared" si="55"/>
        <v>0.00</v>
      </c>
      <c r="I36" s="4" t="str">
        <f t="shared" si="56"/>
        <v>0</v>
      </c>
      <c r="J36" s="4" t="str">
        <f t="shared" si="78"/>
        <v>0.05</v>
      </c>
      <c r="K36" s="4" t="str">
        <f t="shared" si="79"/>
        <v>-0.05</v>
      </c>
      <c r="L36" s="4" t="str">
        <f t="shared" ref="L36:W36" si="85">"0.00"</f>
        <v>0.00</v>
      </c>
      <c r="M36" s="4" t="str">
        <f t="shared" si="58"/>
        <v>0.000</v>
      </c>
      <c r="N36" s="4" t="str">
        <f t="shared" si="81"/>
        <v>4.95</v>
      </c>
      <c r="O36" s="4" t="str">
        <f t="shared" si="59"/>
        <v>0</v>
      </c>
      <c r="P36" s="4" t="str">
        <f t="shared" si="85"/>
        <v>0.00</v>
      </c>
      <c r="Q36" s="4" t="str">
        <f t="shared" si="85"/>
        <v>0.00</v>
      </c>
      <c r="R36" s="4" t="str">
        <f t="shared" si="85"/>
        <v>0.00</v>
      </c>
      <c r="S36" s="4" t="str">
        <f t="shared" si="85"/>
        <v>0.00</v>
      </c>
      <c r="T36" s="4" t="str">
        <f t="shared" si="85"/>
        <v>0.00</v>
      </c>
      <c r="U36" s="4" t="str">
        <f t="shared" si="85"/>
        <v>0.00</v>
      </c>
      <c r="V36" s="4" t="str">
        <f t="shared" si="85"/>
        <v>0.00</v>
      </c>
      <c r="W36" s="4" t="str">
        <f t="shared" si="85"/>
        <v>0.00</v>
      </c>
      <c r="X36" s="4" t="str">
        <f t="shared" si="60"/>
        <v>0.00000</v>
      </c>
      <c r="Y36" s="4" t="str">
        <f t="shared" si="61"/>
        <v>0</v>
      </c>
      <c r="Z36" s="4" t="str">
        <f t="shared" si="62"/>
        <v>0</v>
      </c>
      <c r="AA36" s="4" t="str">
        <f t="shared" si="15"/>
        <v>人民币</v>
      </c>
      <c r="AB36" s="4" t="str">
        <f t="shared" si="16"/>
        <v>A368402599</v>
      </c>
    </row>
    <row r="37" spans="1:28">
      <c r="A37" s="4" t="str">
        <f>"20210526"</f>
        <v>20210526</v>
      </c>
      <c r="B37" s="4" t="str">
        <f>"20210526"</f>
        <v>20210526</v>
      </c>
      <c r="C37" s="4" t="str">
        <f t="shared" si="50"/>
        <v>0</v>
      </c>
      <c r="D37" s="4" t="str">
        <f t="shared" si="51"/>
        <v>00:00:00</v>
      </c>
      <c r="E37" s="4" t="str">
        <f t="shared" si="52"/>
        <v>港股通组合费</v>
      </c>
      <c r="F37" s="4" t="str">
        <f t="shared" si="53"/>
        <v/>
      </c>
      <c r="G37" s="4" t="str">
        <f t="shared" si="54"/>
        <v/>
      </c>
      <c r="H37" s="4" t="str">
        <f t="shared" si="55"/>
        <v>0.00</v>
      </c>
      <c r="I37" s="4" t="str">
        <f t="shared" si="56"/>
        <v>0</v>
      </c>
      <c r="J37" s="4" t="str">
        <f t="shared" si="78"/>
        <v>0.05</v>
      </c>
      <c r="K37" s="4" t="str">
        <f t="shared" si="79"/>
        <v>-0.05</v>
      </c>
      <c r="L37" s="4" t="str">
        <f t="shared" ref="L37:W37" si="86">"0.00"</f>
        <v>0.00</v>
      </c>
      <c r="M37" s="4" t="str">
        <f t="shared" si="58"/>
        <v>0.000</v>
      </c>
      <c r="N37" s="4" t="str">
        <f t="shared" si="81"/>
        <v>4.95</v>
      </c>
      <c r="O37" s="4" t="str">
        <f t="shared" si="59"/>
        <v>0</v>
      </c>
      <c r="P37" s="4" t="str">
        <f t="shared" si="86"/>
        <v>0.00</v>
      </c>
      <c r="Q37" s="4" t="str">
        <f t="shared" si="86"/>
        <v>0.00</v>
      </c>
      <c r="R37" s="4" t="str">
        <f t="shared" si="86"/>
        <v>0.00</v>
      </c>
      <c r="S37" s="4" t="str">
        <f t="shared" si="86"/>
        <v>0.00</v>
      </c>
      <c r="T37" s="4" t="str">
        <f t="shared" si="86"/>
        <v>0.00</v>
      </c>
      <c r="U37" s="4" t="str">
        <f t="shared" si="86"/>
        <v>0.00</v>
      </c>
      <c r="V37" s="4" t="str">
        <f t="shared" si="86"/>
        <v>0.00</v>
      </c>
      <c r="W37" s="4" t="str">
        <f t="shared" si="86"/>
        <v>0.00</v>
      </c>
      <c r="X37" s="4" t="str">
        <f t="shared" si="60"/>
        <v>0.00000</v>
      </c>
      <c r="Y37" s="4" t="str">
        <f t="shared" si="61"/>
        <v>0</v>
      </c>
      <c r="Z37" s="4" t="str">
        <f t="shared" si="62"/>
        <v>0</v>
      </c>
      <c r="AA37" s="4" t="str">
        <f t="shared" si="15"/>
        <v>人民币</v>
      </c>
      <c r="AB37" s="4" t="str">
        <f t="shared" si="16"/>
        <v>A368402599</v>
      </c>
    </row>
    <row r="38" spans="1:28">
      <c r="A38" s="4" t="str">
        <f>"20210527"</f>
        <v>20210527</v>
      </c>
      <c r="B38" s="4" t="str">
        <f>"20210527"</f>
        <v>20210527</v>
      </c>
      <c r="C38" s="4" t="str">
        <f t="shared" si="50"/>
        <v>0</v>
      </c>
      <c r="D38" s="4" t="str">
        <f t="shared" si="51"/>
        <v>00:00:00</v>
      </c>
      <c r="E38" s="4" t="str">
        <f t="shared" si="52"/>
        <v>港股通组合费</v>
      </c>
      <c r="F38" s="4" t="str">
        <f t="shared" si="53"/>
        <v/>
      </c>
      <c r="G38" s="4" t="str">
        <f t="shared" si="54"/>
        <v/>
      </c>
      <c r="H38" s="4" t="str">
        <f t="shared" si="55"/>
        <v>0.00</v>
      </c>
      <c r="I38" s="4" t="str">
        <f t="shared" si="56"/>
        <v>0</v>
      </c>
      <c r="J38" s="4" t="str">
        <f t="shared" si="78"/>
        <v>0.05</v>
      </c>
      <c r="K38" s="4" t="str">
        <f t="shared" si="79"/>
        <v>-0.05</v>
      </c>
      <c r="L38" s="4" t="str">
        <f t="shared" ref="L38:W38" si="87">"0.00"</f>
        <v>0.00</v>
      </c>
      <c r="M38" s="4" t="str">
        <f t="shared" si="58"/>
        <v>0.000</v>
      </c>
      <c r="N38" s="4" t="str">
        <f t="shared" si="81"/>
        <v>4.95</v>
      </c>
      <c r="O38" s="4" t="str">
        <f t="shared" si="59"/>
        <v>0</v>
      </c>
      <c r="P38" s="4" t="str">
        <f t="shared" si="87"/>
        <v>0.00</v>
      </c>
      <c r="Q38" s="4" t="str">
        <f t="shared" si="87"/>
        <v>0.00</v>
      </c>
      <c r="R38" s="4" t="str">
        <f t="shared" si="87"/>
        <v>0.00</v>
      </c>
      <c r="S38" s="4" t="str">
        <f t="shared" si="87"/>
        <v>0.00</v>
      </c>
      <c r="T38" s="4" t="str">
        <f t="shared" si="87"/>
        <v>0.00</v>
      </c>
      <c r="U38" s="4" t="str">
        <f t="shared" si="87"/>
        <v>0.00</v>
      </c>
      <c r="V38" s="4" t="str">
        <f t="shared" si="87"/>
        <v>0.00</v>
      </c>
      <c r="W38" s="4" t="str">
        <f t="shared" si="87"/>
        <v>0.00</v>
      </c>
      <c r="X38" s="4" t="str">
        <f t="shared" si="60"/>
        <v>0.00000</v>
      </c>
      <c r="Y38" s="4" t="str">
        <f t="shared" si="61"/>
        <v>0</v>
      </c>
      <c r="Z38" s="4" t="str">
        <f t="shared" si="62"/>
        <v>0</v>
      </c>
      <c r="AA38" s="4" t="str">
        <f t="shared" si="15"/>
        <v>人民币</v>
      </c>
      <c r="AB38" s="4" t="str">
        <f t="shared" si="16"/>
        <v>A368402599</v>
      </c>
    </row>
    <row r="39" spans="1:28">
      <c r="A39" s="4" t="str">
        <f>"20210528"</f>
        <v>20210528</v>
      </c>
      <c r="B39" s="4" t="str">
        <f>"20210528"</f>
        <v>20210528</v>
      </c>
      <c r="C39" s="4" t="str">
        <f t="shared" si="50"/>
        <v>0</v>
      </c>
      <c r="D39" s="4" t="str">
        <f t="shared" si="51"/>
        <v>00:00:00</v>
      </c>
      <c r="E39" s="4" t="str">
        <f t="shared" si="52"/>
        <v>港股通组合费</v>
      </c>
      <c r="F39" s="4" t="str">
        <f t="shared" si="53"/>
        <v/>
      </c>
      <c r="G39" s="4" t="str">
        <f t="shared" si="54"/>
        <v/>
      </c>
      <c r="H39" s="4" t="str">
        <f t="shared" si="55"/>
        <v>0.00</v>
      </c>
      <c r="I39" s="4" t="str">
        <f t="shared" si="56"/>
        <v>0</v>
      </c>
      <c r="J39" s="4" t="str">
        <f t="shared" si="78"/>
        <v>0.05</v>
      </c>
      <c r="K39" s="4" t="str">
        <f t="shared" si="79"/>
        <v>-0.05</v>
      </c>
      <c r="L39" s="4" t="str">
        <f t="shared" ref="L39:W39" si="88">"0.00"</f>
        <v>0.00</v>
      </c>
      <c r="M39" s="4" t="str">
        <f t="shared" si="58"/>
        <v>0.000</v>
      </c>
      <c r="N39" s="4" t="str">
        <f t="shared" si="81"/>
        <v>4.95</v>
      </c>
      <c r="O39" s="4" t="str">
        <f t="shared" si="59"/>
        <v>0</v>
      </c>
      <c r="P39" s="4" t="str">
        <f t="shared" si="88"/>
        <v>0.00</v>
      </c>
      <c r="Q39" s="4" t="str">
        <f t="shared" si="88"/>
        <v>0.00</v>
      </c>
      <c r="R39" s="4" t="str">
        <f t="shared" si="88"/>
        <v>0.00</v>
      </c>
      <c r="S39" s="4" t="str">
        <f t="shared" si="88"/>
        <v>0.00</v>
      </c>
      <c r="T39" s="4" t="str">
        <f t="shared" si="88"/>
        <v>0.00</v>
      </c>
      <c r="U39" s="4" t="str">
        <f t="shared" si="88"/>
        <v>0.00</v>
      </c>
      <c r="V39" s="4" t="str">
        <f t="shared" si="88"/>
        <v>0.00</v>
      </c>
      <c r="W39" s="4" t="str">
        <f t="shared" si="88"/>
        <v>0.00</v>
      </c>
      <c r="X39" s="4" t="str">
        <f t="shared" si="60"/>
        <v>0.00000</v>
      </c>
      <c r="Y39" s="4" t="str">
        <f t="shared" si="61"/>
        <v>0</v>
      </c>
      <c r="Z39" s="4" t="str">
        <f t="shared" si="62"/>
        <v>0</v>
      </c>
      <c r="AA39" s="4" t="str">
        <f t="shared" si="15"/>
        <v>人民币</v>
      </c>
      <c r="AB39" s="4" t="str">
        <f t="shared" si="16"/>
        <v>A368402599</v>
      </c>
    </row>
    <row r="40" spans="1:28">
      <c r="A40" s="4" t="str">
        <f>"20210531"</f>
        <v>20210531</v>
      </c>
      <c r="B40" s="4" t="str">
        <f>"20210531"</f>
        <v>20210531</v>
      </c>
      <c r="C40" s="4" t="str">
        <f t="shared" si="50"/>
        <v>0</v>
      </c>
      <c r="D40" s="4" t="str">
        <f t="shared" si="51"/>
        <v>00:00:00</v>
      </c>
      <c r="E40" s="4" t="str">
        <f t="shared" si="52"/>
        <v>港股通组合费</v>
      </c>
      <c r="F40" s="4" t="str">
        <f t="shared" si="53"/>
        <v/>
      </c>
      <c r="G40" s="4" t="str">
        <f t="shared" si="54"/>
        <v/>
      </c>
      <c r="H40" s="4" t="str">
        <f t="shared" si="55"/>
        <v>0.00</v>
      </c>
      <c r="I40" s="4" t="str">
        <f t="shared" si="56"/>
        <v>0</v>
      </c>
      <c r="J40" s="4" t="str">
        <f>"0.15"</f>
        <v>0.15</v>
      </c>
      <c r="K40" s="4" t="str">
        <f>"-0.15"</f>
        <v>-0.15</v>
      </c>
      <c r="L40" s="4" t="str">
        <f t="shared" ref="L40:W40" si="89">"0.00"</f>
        <v>0.00</v>
      </c>
      <c r="M40" s="4" t="str">
        <f t="shared" si="58"/>
        <v>0.000</v>
      </c>
      <c r="N40" s="4" t="str">
        <f>"4.85"</f>
        <v>4.85</v>
      </c>
      <c r="O40" s="4" t="str">
        <f t="shared" si="59"/>
        <v>0</v>
      </c>
      <c r="P40" s="4" t="str">
        <f t="shared" si="89"/>
        <v>0.00</v>
      </c>
      <c r="Q40" s="4" t="str">
        <f t="shared" si="89"/>
        <v>0.00</v>
      </c>
      <c r="R40" s="4" t="str">
        <f t="shared" si="89"/>
        <v>0.00</v>
      </c>
      <c r="S40" s="4" t="str">
        <f t="shared" si="89"/>
        <v>0.00</v>
      </c>
      <c r="T40" s="4" t="str">
        <f t="shared" si="89"/>
        <v>0.00</v>
      </c>
      <c r="U40" s="4" t="str">
        <f t="shared" si="89"/>
        <v>0.00</v>
      </c>
      <c r="V40" s="4" t="str">
        <f t="shared" si="89"/>
        <v>0.00</v>
      </c>
      <c r="W40" s="4" t="str">
        <f t="shared" si="89"/>
        <v>0.00</v>
      </c>
      <c r="X40" s="4" t="str">
        <f t="shared" si="60"/>
        <v>0.00000</v>
      </c>
      <c r="Y40" s="4" t="str">
        <f t="shared" si="61"/>
        <v>0</v>
      </c>
      <c r="Z40" s="4" t="str">
        <f t="shared" si="62"/>
        <v>0</v>
      </c>
      <c r="AA40" s="4" t="str">
        <f t="shared" si="15"/>
        <v>人民币</v>
      </c>
      <c r="AB40" s="4" t="str">
        <f t="shared" si="16"/>
        <v>A368402599</v>
      </c>
    </row>
    <row r="41" spans="1:28">
      <c r="A41" s="4" t="str">
        <f>"20210601"</f>
        <v>20210601</v>
      </c>
      <c r="B41" s="4" t="str">
        <f>"20210601"</f>
        <v>20210601</v>
      </c>
      <c r="C41" s="4" t="str">
        <f t="shared" si="50"/>
        <v>0</v>
      </c>
      <c r="D41" s="4" t="str">
        <f t="shared" si="51"/>
        <v>00:00:00</v>
      </c>
      <c r="E41" s="4" t="str">
        <f t="shared" si="52"/>
        <v>港股通组合费</v>
      </c>
      <c r="F41" s="4" t="str">
        <f t="shared" si="53"/>
        <v/>
      </c>
      <c r="G41" s="4" t="str">
        <f t="shared" si="54"/>
        <v/>
      </c>
      <c r="H41" s="4" t="str">
        <f t="shared" si="55"/>
        <v>0.00</v>
      </c>
      <c r="I41" s="4" t="str">
        <f t="shared" si="56"/>
        <v>0</v>
      </c>
      <c r="J41" s="4" t="str">
        <f t="shared" ref="J41:J44" si="90">"0.05"</f>
        <v>0.05</v>
      </c>
      <c r="K41" s="4" t="str">
        <f t="shared" ref="K41:K44" si="91">"-0.05"</f>
        <v>-0.05</v>
      </c>
      <c r="L41" s="4" t="str">
        <f t="shared" ref="L41:W41" si="92">"0.00"</f>
        <v>0.00</v>
      </c>
      <c r="M41" s="4" t="str">
        <f t="shared" si="58"/>
        <v>0.000</v>
      </c>
      <c r="N41" s="4" t="str">
        <f t="shared" ref="N41:N44" si="93">"4.95"</f>
        <v>4.95</v>
      </c>
      <c r="O41" s="4" t="str">
        <f t="shared" si="59"/>
        <v>0</v>
      </c>
      <c r="P41" s="4" t="str">
        <f t="shared" si="92"/>
        <v>0.00</v>
      </c>
      <c r="Q41" s="4" t="str">
        <f t="shared" si="92"/>
        <v>0.00</v>
      </c>
      <c r="R41" s="4" t="str">
        <f t="shared" si="92"/>
        <v>0.00</v>
      </c>
      <c r="S41" s="4" t="str">
        <f t="shared" si="92"/>
        <v>0.00</v>
      </c>
      <c r="T41" s="4" t="str">
        <f t="shared" si="92"/>
        <v>0.00</v>
      </c>
      <c r="U41" s="4" t="str">
        <f t="shared" si="92"/>
        <v>0.00</v>
      </c>
      <c r="V41" s="4" t="str">
        <f t="shared" si="92"/>
        <v>0.00</v>
      </c>
      <c r="W41" s="4" t="str">
        <f t="shared" si="92"/>
        <v>0.00</v>
      </c>
      <c r="X41" s="4" t="str">
        <f t="shared" si="60"/>
        <v>0.00000</v>
      </c>
      <c r="Y41" s="4" t="str">
        <f t="shared" si="61"/>
        <v>0</v>
      </c>
      <c r="Z41" s="4" t="str">
        <f t="shared" si="62"/>
        <v>0</v>
      </c>
      <c r="AA41" s="4" t="str">
        <f t="shared" si="15"/>
        <v>人民币</v>
      </c>
      <c r="AB41" s="4" t="str">
        <f t="shared" si="16"/>
        <v>A368402599</v>
      </c>
    </row>
    <row r="42" spans="1:28">
      <c r="A42" s="4" t="str">
        <f>"20210602"</f>
        <v>20210602</v>
      </c>
      <c r="B42" s="4" t="str">
        <f>"20210602"</f>
        <v>20210602</v>
      </c>
      <c r="C42" s="4" t="str">
        <f t="shared" si="50"/>
        <v>0</v>
      </c>
      <c r="D42" s="4" t="str">
        <f t="shared" si="51"/>
        <v>00:00:00</v>
      </c>
      <c r="E42" s="4" t="str">
        <f t="shared" si="52"/>
        <v>港股通组合费</v>
      </c>
      <c r="F42" s="4" t="str">
        <f t="shared" si="53"/>
        <v/>
      </c>
      <c r="G42" s="4" t="str">
        <f t="shared" si="54"/>
        <v/>
      </c>
      <c r="H42" s="4" t="str">
        <f t="shared" si="55"/>
        <v>0.00</v>
      </c>
      <c r="I42" s="4" t="str">
        <f t="shared" si="56"/>
        <v>0</v>
      </c>
      <c r="J42" s="4" t="str">
        <f t="shared" si="90"/>
        <v>0.05</v>
      </c>
      <c r="K42" s="4" t="str">
        <f t="shared" si="91"/>
        <v>-0.05</v>
      </c>
      <c r="L42" s="4" t="str">
        <f t="shared" ref="L42:W42" si="94">"0.00"</f>
        <v>0.00</v>
      </c>
      <c r="M42" s="4" t="str">
        <f t="shared" si="58"/>
        <v>0.000</v>
      </c>
      <c r="N42" s="4" t="str">
        <f t="shared" si="93"/>
        <v>4.95</v>
      </c>
      <c r="O42" s="4" t="str">
        <f t="shared" si="59"/>
        <v>0</v>
      </c>
      <c r="P42" s="4" t="str">
        <f t="shared" si="94"/>
        <v>0.00</v>
      </c>
      <c r="Q42" s="4" t="str">
        <f t="shared" si="94"/>
        <v>0.00</v>
      </c>
      <c r="R42" s="4" t="str">
        <f t="shared" si="94"/>
        <v>0.00</v>
      </c>
      <c r="S42" s="4" t="str">
        <f t="shared" si="94"/>
        <v>0.00</v>
      </c>
      <c r="T42" s="4" t="str">
        <f t="shared" si="94"/>
        <v>0.00</v>
      </c>
      <c r="U42" s="4" t="str">
        <f t="shared" si="94"/>
        <v>0.00</v>
      </c>
      <c r="V42" s="4" t="str">
        <f t="shared" si="94"/>
        <v>0.00</v>
      </c>
      <c r="W42" s="4" t="str">
        <f t="shared" si="94"/>
        <v>0.00</v>
      </c>
      <c r="X42" s="4" t="str">
        <f t="shared" si="60"/>
        <v>0.00000</v>
      </c>
      <c r="Y42" s="4" t="str">
        <f t="shared" si="61"/>
        <v>0</v>
      </c>
      <c r="Z42" s="4" t="str">
        <f t="shared" si="62"/>
        <v>0</v>
      </c>
      <c r="AA42" s="4" t="str">
        <f t="shared" si="15"/>
        <v>人民币</v>
      </c>
      <c r="AB42" s="4" t="str">
        <f t="shared" si="16"/>
        <v>A368402599</v>
      </c>
    </row>
    <row r="43" spans="1:28">
      <c r="A43" s="4" t="str">
        <f>"20210603"</f>
        <v>20210603</v>
      </c>
      <c r="B43" s="4" t="str">
        <f>"20210603"</f>
        <v>20210603</v>
      </c>
      <c r="C43" s="4" t="str">
        <f t="shared" si="50"/>
        <v>0</v>
      </c>
      <c r="D43" s="4" t="str">
        <f t="shared" si="51"/>
        <v>00:00:00</v>
      </c>
      <c r="E43" s="4" t="str">
        <f t="shared" si="52"/>
        <v>港股通组合费</v>
      </c>
      <c r="F43" s="4" t="str">
        <f t="shared" si="53"/>
        <v/>
      </c>
      <c r="G43" s="4" t="str">
        <f t="shared" si="54"/>
        <v/>
      </c>
      <c r="H43" s="4" t="str">
        <f t="shared" si="55"/>
        <v>0.00</v>
      </c>
      <c r="I43" s="4" t="str">
        <f t="shared" si="56"/>
        <v>0</v>
      </c>
      <c r="J43" s="4" t="str">
        <f t="shared" si="90"/>
        <v>0.05</v>
      </c>
      <c r="K43" s="4" t="str">
        <f t="shared" si="91"/>
        <v>-0.05</v>
      </c>
      <c r="L43" s="4" t="str">
        <f t="shared" ref="L43:W43" si="95">"0.00"</f>
        <v>0.00</v>
      </c>
      <c r="M43" s="4" t="str">
        <f t="shared" si="58"/>
        <v>0.000</v>
      </c>
      <c r="N43" s="4" t="str">
        <f t="shared" si="93"/>
        <v>4.95</v>
      </c>
      <c r="O43" s="4" t="str">
        <f t="shared" si="59"/>
        <v>0</v>
      </c>
      <c r="P43" s="4" t="str">
        <f t="shared" si="95"/>
        <v>0.00</v>
      </c>
      <c r="Q43" s="4" t="str">
        <f t="shared" si="95"/>
        <v>0.00</v>
      </c>
      <c r="R43" s="4" t="str">
        <f t="shared" si="95"/>
        <v>0.00</v>
      </c>
      <c r="S43" s="4" t="str">
        <f t="shared" si="95"/>
        <v>0.00</v>
      </c>
      <c r="T43" s="4" t="str">
        <f t="shared" si="95"/>
        <v>0.00</v>
      </c>
      <c r="U43" s="4" t="str">
        <f t="shared" si="95"/>
        <v>0.00</v>
      </c>
      <c r="V43" s="4" t="str">
        <f t="shared" si="95"/>
        <v>0.00</v>
      </c>
      <c r="W43" s="4" t="str">
        <f t="shared" si="95"/>
        <v>0.00</v>
      </c>
      <c r="X43" s="4" t="str">
        <f t="shared" si="60"/>
        <v>0.00000</v>
      </c>
      <c r="Y43" s="4" t="str">
        <f t="shared" si="61"/>
        <v>0</v>
      </c>
      <c r="Z43" s="4" t="str">
        <f t="shared" si="62"/>
        <v>0</v>
      </c>
      <c r="AA43" s="4" t="str">
        <f t="shared" si="15"/>
        <v>人民币</v>
      </c>
      <c r="AB43" s="4" t="str">
        <f t="shared" si="16"/>
        <v>A368402599</v>
      </c>
    </row>
    <row r="44" spans="1:28">
      <c r="A44" s="4" t="str">
        <f>"20210604"</f>
        <v>20210604</v>
      </c>
      <c r="B44" s="4" t="str">
        <f>"20210604"</f>
        <v>20210604</v>
      </c>
      <c r="C44" s="4" t="str">
        <f t="shared" si="50"/>
        <v>0</v>
      </c>
      <c r="D44" s="4" t="str">
        <f t="shared" si="51"/>
        <v>00:00:00</v>
      </c>
      <c r="E44" s="4" t="str">
        <f t="shared" si="52"/>
        <v>港股通组合费</v>
      </c>
      <c r="F44" s="4" t="str">
        <f t="shared" si="53"/>
        <v/>
      </c>
      <c r="G44" s="4" t="str">
        <f t="shared" si="54"/>
        <v/>
      </c>
      <c r="H44" s="4" t="str">
        <f t="shared" si="55"/>
        <v>0.00</v>
      </c>
      <c r="I44" s="4" t="str">
        <f t="shared" si="56"/>
        <v>0</v>
      </c>
      <c r="J44" s="4" t="str">
        <f t="shared" si="90"/>
        <v>0.05</v>
      </c>
      <c r="K44" s="4" t="str">
        <f t="shared" si="91"/>
        <v>-0.05</v>
      </c>
      <c r="L44" s="4" t="str">
        <f t="shared" ref="L44:W44" si="96">"0.00"</f>
        <v>0.00</v>
      </c>
      <c r="M44" s="4" t="str">
        <f t="shared" si="58"/>
        <v>0.000</v>
      </c>
      <c r="N44" s="4" t="str">
        <f t="shared" si="93"/>
        <v>4.95</v>
      </c>
      <c r="O44" s="4" t="str">
        <f t="shared" si="59"/>
        <v>0</v>
      </c>
      <c r="P44" s="4" t="str">
        <f t="shared" si="96"/>
        <v>0.00</v>
      </c>
      <c r="Q44" s="4" t="str">
        <f t="shared" si="96"/>
        <v>0.00</v>
      </c>
      <c r="R44" s="4" t="str">
        <f t="shared" si="96"/>
        <v>0.00</v>
      </c>
      <c r="S44" s="4" t="str">
        <f t="shared" si="96"/>
        <v>0.00</v>
      </c>
      <c r="T44" s="4" t="str">
        <f t="shared" si="96"/>
        <v>0.00</v>
      </c>
      <c r="U44" s="4" t="str">
        <f t="shared" si="96"/>
        <v>0.00</v>
      </c>
      <c r="V44" s="4" t="str">
        <f t="shared" si="96"/>
        <v>0.00</v>
      </c>
      <c r="W44" s="4" t="str">
        <f t="shared" si="96"/>
        <v>0.00</v>
      </c>
      <c r="X44" s="4" t="str">
        <f t="shared" si="60"/>
        <v>0.00000</v>
      </c>
      <c r="Y44" s="4" t="str">
        <f t="shared" si="61"/>
        <v>0</v>
      </c>
      <c r="Z44" s="4" t="str">
        <f t="shared" si="62"/>
        <v>0</v>
      </c>
      <c r="AA44" s="4" t="str">
        <f t="shared" si="15"/>
        <v>人民币</v>
      </c>
      <c r="AB44" s="4" t="str">
        <f t="shared" si="16"/>
        <v>A368402599</v>
      </c>
    </row>
    <row r="45" spans="1:28">
      <c r="A45" s="4" t="str">
        <f>"20210607"</f>
        <v>20210607</v>
      </c>
      <c r="B45" s="4" t="str">
        <f>"20210607"</f>
        <v>20210607</v>
      </c>
      <c r="C45" s="4" t="str">
        <f t="shared" si="50"/>
        <v>0</v>
      </c>
      <c r="D45" s="4" t="str">
        <f t="shared" si="51"/>
        <v>00:00:00</v>
      </c>
      <c r="E45" s="4" t="str">
        <f t="shared" si="52"/>
        <v>港股通组合费</v>
      </c>
      <c r="F45" s="4" t="str">
        <f t="shared" si="53"/>
        <v/>
      </c>
      <c r="G45" s="4" t="str">
        <f t="shared" si="54"/>
        <v/>
      </c>
      <c r="H45" s="4" t="str">
        <f t="shared" si="55"/>
        <v>0.00</v>
      </c>
      <c r="I45" s="4" t="str">
        <f t="shared" si="56"/>
        <v>0</v>
      </c>
      <c r="J45" s="4" t="str">
        <f>"0.15"</f>
        <v>0.15</v>
      </c>
      <c r="K45" s="4" t="str">
        <f>"-0.15"</f>
        <v>-0.15</v>
      </c>
      <c r="L45" s="4" t="str">
        <f t="shared" ref="L45:W45" si="97">"0.00"</f>
        <v>0.00</v>
      </c>
      <c r="M45" s="4" t="str">
        <f t="shared" si="58"/>
        <v>0.000</v>
      </c>
      <c r="N45" s="4" t="str">
        <f>"4.85"</f>
        <v>4.85</v>
      </c>
      <c r="O45" s="4" t="str">
        <f t="shared" si="59"/>
        <v>0</v>
      </c>
      <c r="P45" s="4" t="str">
        <f t="shared" si="97"/>
        <v>0.00</v>
      </c>
      <c r="Q45" s="4" t="str">
        <f t="shared" si="97"/>
        <v>0.00</v>
      </c>
      <c r="R45" s="4" t="str">
        <f t="shared" si="97"/>
        <v>0.00</v>
      </c>
      <c r="S45" s="4" t="str">
        <f t="shared" si="97"/>
        <v>0.00</v>
      </c>
      <c r="T45" s="4" t="str">
        <f t="shared" si="97"/>
        <v>0.00</v>
      </c>
      <c r="U45" s="4" t="str">
        <f t="shared" si="97"/>
        <v>0.00</v>
      </c>
      <c r="V45" s="4" t="str">
        <f t="shared" si="97"/>
        <v>0.00</v>
      </c>
      <c r="W45" s="4" t="str">
        <f t="shared" si="97"/>
        <v>0.00</v>
      </c>
      <c r="X45" s="4" t="str">
        <f t="shared" si="60"/>
        <v>0.00000</v>
      </c>
      <c r="Y45" s="4" t="str">
        <f t="shared" si="61"/>
        <v>0</v>
      </c>
      <c r="Z45" s="4" t="str">
        <f t="shared" si="62"/>
        <v>0</v>
      </c>
      <c r="AA45" s="4" t="str">
        <f t="shared" si="15"/>
        <v>人民币</v>
      </c>
      <c r="AB45" s="4" t="str">
        <f t="shared" si="16"/>
        <v>A368402599</v>
      </c>
    </row>
    <row r="46" spans="1:28">
      <c r="A46" s="4" t="str">
        <f>"20210608"</f>
        <v>20210608</v>
      </c>
      <c r="B46" s="4" t="str">
        <f>"20210608"</f>
        <v>20210608</v>
      </c>
      <c r="C46" s="4" t="str">
        <f t="shared" si="50"/>
        <v>0</v>
      </c>
      <c r="D46" s="4" t="str">
        <f t="shared" si="51"/>
        <v>00:00:00</v>
      </c>
      <c r="E46" s="4" t="str">
        <f t="shared" si="52"/>
        <v>港股通组合费</v>
      </c>
      <c r="F46" s="4" t="str">
        <f t="shared" si="53"/>
        <v/>
      </c>
      <c r="G46" s="4" t="str">
        <f t="shared" si="54"/>
        <v/>
      </c>
      <c r="H46" s="4" t="str">
        <f t="shared" si="55"/>
        <v>0.00</v>
      </c>
      <c r="I46" s="4" t="str">
        <f t="shared" si="56"/>
        <v>0</v>
      </c>
      <c r="J46" s="4" t="str">
        <f t="shared" ref="J46:J49" si="98">"0.05"</f>
        <v>0.05</v>
      </c>
      <c r="K46" s="4" t="str">
        <f t="shared" ref="K46:K49" si="99">"-0.05"</f>
        <v>-0.05</v>
      </c>
      <c r="L46" s="4" t="str">
        <f t="shared" ref="L46:W46" si="100">"0.00"</f>
        <v>0.00</v>
      </c>
      <c r="M46" s="4" t="str">
        <f t="shared" si="58"/>
        <v>0.000</v>
      </c>
      <c r="N46" s="4" t="str">
        <f t="shared" ref="N46:N49" si="101">"4.95"</f>
        <v>4.95</v>
      </c>
      <c r="O46" s="4" t="str">
        <f t="shared" si="59"/>
        <v>0</v>
      </c>
      <c r="P46" s="4" t="str">
        <f t="shared" si="100"/>
        <v>0.00</v>
      </c>
      <c r="Q46" s="4" t="str">
        <f t="shared" si="100"/>
        <v>0.00</v>
      </c>
      <c r="R46" s="4" t="str">
        <f t="shared" si="100"/>
        <v>0.00</v>
      </c>
      <c r="S46" s="4" t="str">
        <f t="shared" si="100"/>
        <v>0.00</v>
      </c>
      <c r="T46" s="4" t="str">
        <f t="shared" si="100"/>
        <v>0.00</v>
      </c>
      <c r="U46" s="4" t="str">
        <f t="shared" si="100"/>
        <v>0.00</v>
      </c>
      <c r="V46" s="4" t="str">
        <f t="shared" si="100"/>
        <v>0.00</v>
      </c>
      <c r="W46" s="4" t="str">
        <f t="shared" si="100"/>
        <v>0.00</v>
      </c>
      <c r="X46" s="4" t="str">
        <f t="shared" si="60"/>
        <v>0.00000</v>
      </c>
      <c r="Y46" s="4" t="str">
        <f t="shared" si="61"/>
        <v>0</v>
      </c>
      <c r="Z46" s="4" t="str">
        <f t="shared" si="62"/>
        <v>0</v>
      </c>
      <c r="AA46" s="4" t="str">
        <f t="shared" si="15"/>
        <v>人民币</v>
      </c>
      <c r="AB46" s="4" t="str">
        <f t="shared" si="16"/>
        <v>A368402599</v>
      </c>
    </row>
    <row r="47" spans="1:28">
      <c r="A47" s="4" t="str">
        <f>"20210609"</f>
        <v>20210609</v>
      </c>
      <c r="B47" s="4" t="str">
        <f>"20210609"</f>
        <v>20210609</v>
      </c>
      <c r="C47" s="4" t="str">
        <f t="shared" si="50"/>
        <v>0</v>
      </c>
      <c r="D47" s="4" t="str">
        <f t="shared" si="51"/>
        <v>00:00:00</v>
      </c>
      <c r="E47" s="4" t="str">
        <f t="shared" si="52"/>
        <v>港股通组合费</v>
      </c>
      <c r="F47" s="4" t="str">
        <f t="shared" si="53"/>
        <v/>
      </c>
      <c r="G47" s="4" t="str">
        <f t="shared" si="54"/>
        <v/>
      </c>
      <c r="H47" s="4" t="str">
        <f t="shared" si="55"/>
        <v>0.00</v>
      </c>
      <c r="I47" s="4" t="str">
        <f t="shared" si="56"/>
        <v>0</v>
      </c>
      <c r="J47" s="4" t="str">
        <f t="shared" si="98"/>
        <v>0.05</v>
      </c>
      <c r="K47" s="4" t="str">
        <f t="shared" si="99"/>
        <v>-0.05</v>
      </c>
      <c r="L47" s="4" t="str">
        <f t="shared" ref="L47:W47" si="102">"0.00"</f>
        <v>0.00</v>
      </c>
      <c r="M47" s="4" t="str">
        <f t="shared" si="58"/>
        <v>0.000</v>
      </c>
      <c r="N47" s="4" t="str">
        <f t="shared" si="101"/>
        <v>4.95</v>
      </c>
      <c r="O47" s="4" t="str">
        <f t="shared" si="59"/>
        <v>0</v>
      </c>
      <c r="P47" s="4" t="str">
        <f t="shared" si="102"/>
        <v>0.00</v>
      </c>
      <c r="Q47" s="4" t="str">
        <f t="shared" si="102"/>
        <v>0.00</v>
      </c>
      <c r="R47" s="4" t="str">
        <f t="shared" si="102"/>
        <v>0.00</v>
      </c>
      <c r="S47" s="4" t="str">
        <f t="shared" si="102"/>
        <v>0.00</v>
      </c>
      <c r="T47" s="4" t="str">
        <f t="shared" si="102"/>
        <v>0.00</v>
      </c>
      <c r="U47" s="4" t="str">
        <f t="shared" si="102"/>
        <v>0.00</v>
      </c>
      <c r="V47" s="4" t="str">
        <f t="shared" si="102"/>
        <v>0.00</v>
      </c>
      <c r="W47" s="4" t="str">
        <f t="shared" si="102"/>
        <v>0.00</v>
      </c>
      <c r="X47" s="4" t="str">
        <f t="shared" si="60"/>
        <v>0.00000</v>
      </c>
      <c r="Y47" s="4" t="str">
        <f t="shared" si="61"/>
        <v>0</v>
      </c>
      <c r="Z47" s="4" t="str">
        <f t="shared" si="62"/>
        <v>0</v>
      </c>
      <c r="AA47" s="4" t="str">
        <f t="shared" si="15"/>
        <v>人民币</v>
      </c>
      <c r="AB47" s="4" t="str">
        <f t="shared" si="16"/>
        <v>A368402599</v>
      </c>
    </row>
    <row r="48" spans="1:28">
      <c r="A48" s="4" t="str">
        <f>"20210610"</f>
        <v>20210610</v>
      </c>
      <c r="B48" s="4" t="str">
        <f>"20210610"</f>
        <v>20210610</v>
      </c>
      <c r="C48" s="4" t="str">
        <f t="shared" si="50"/>
        <v>0</v>
      </c>
      <c r="D48" s="4" t="str">
        <f t="shared" si="51"/>
        <v>00:00:00</v>
      </c>
      <c r="E48" s="4" t="str">
        <f t="shared" si="52"/>
        <v>港股通组合费</v>
      </c>
      <c r="F48" s="4" t="str">
        <f t="shared" si="53"/>
        <v/>
      </c>
      <c r="G48" s="4" t="str">
        <f t="shared" si="54"/>
        <v/>
      </c>
      <c r="H48" s="4" t="str">
        <f t="shared" si="55"/>
        <v>0.00</v>
      </c>
      <c r="I48" s="4" t="str">
        <f t="shared" si="56"/>
        <v>0</v>
      </c>
      <c r="J48" s="4" t="str">
        <f t="shared" si="98"/>
        <v>0.05</v>
      </c>
      <c r="K48" s="4" t="str">
        <f t="shared" si="99"/>
        <v>-0.05</v>
      </c>
      <c r="L48" s="4" t="str">
        <f t="shared" ref="L48:W48" si="103">"0.00"</f>
        <v>0.00</v>
      </c>
      <c r="M48" s="4" t="str">
        <f t="shared" si="58"/>
        <v>0.000</v>
      </c>
      <c r="N48" s="4" t="str">
        <f t="shared" si="101"/>
        <v>4.95</v>
      </c>
      <c r="O48" s="4" t="str">
        <f t="shared" si="59"/>
        <v>0</v>
      </c>
      <c r="P48" s="4" t="str">
        <f t="shared" si="103"/>
        <v>0.00</v>
      </c>
      <c r="Q48" s="4" t="str">
        <f t="shared" si="103"/>
        <v>0.00</v>
      </c>
      <c r="R48" s="4" t="str">
        <f t="shared" si="103"/>
        <v>0.00</v>
      </c>
      <c r="S48" s="4" t="str">
        <f t="shared" si="103"/>
        <v>0.00</v>
      </c>
      <c r="T48" s="4" t="str">
        <f t="shared" si="103"/>
        <v>0.00</v>
      </c>
      <c r="U48" s="4" t="str">
        <f t="shared" si="103"/>
        <v>0.00</v>
      </c>
      <c r="V48" s="4" t="str">
        <f t="shared" si="103"/>
        <v>0.00</v>
      </c>
      <c r="W48" s="4" t="str">
        <f t="shared" si="103"/>
        <v>0.00</v>
      </c>
      <c r="X48" s="4" t="str">
        <f t="shared" si="60"/>
        <v>0.00000</v>
      </c>
      <c r="Y48" s="4" t="str">
        <f t="shared" si="61"/>
        <v>0</v>
      </c>
      <c r="Z48" s="4" t="str">
        <f t="shared" si="62"/>
        <v>0</v>
      </c>
      <c r="AA48" s="4" t="str">
        <f t="shared" si="15"/>
        <v>人民币</v>
      </c>
      <c r="AB48" s="4" t="str">
        <f t="shared" si="16"/>
        <v>A368402599</v>
      </c>
    </row>
    <row r="49" spans="1:28">
      <c r="A49" s="4" t="str">
        <f>"20210611"</f>
        <v>20210611</v>
      </c>
      <c r="B49" s="4" t="str">
        <f>"20210611"</f>
        <v>20210611</v>
      </c>
      <c r="C49" s="4" t="str">
        <f t="shared" si="50"/>
        <v>0</v>
      </c>
      <c r="D49" s="4" t="str">
        <f t="shared" si="51"/>
        <v>00:00:00</v>
      </c>
      <c r="E49" s="4" t="str">
        <f t="shared" si="52"/>
        <v>港股通组合费</v>
      </c>
      <c r="F49" s="4" t="str">
        <f t="shared" si="53"/>
        <v/>
      </c>
      <c r="G49" s="4" t="str">
        <f t="shared" si="54"/>
        <v/>
      </c>
      <c r="H49" s="4" t="str">
        <f t="shared" si="55"/>
        <v>0.00</v>
      </c>
      <c r="I49" s="4" t="str">
        <f t="shared" si="56"/>
        <v>0</v>
      </c>
      <c r="J49" s="4" t="str">
        <f t="shared" si="98"/>
        <v>0.05</v>
      </c>
      <c r="K49" s="4" t="str">
        <f t="shared" si="99"/>
        <v>-0.05</v>
      </c>
      <c r="L49" s="4" t="str">
        <f t="shared" ref="L49:W49" si="104">"0.00"</f>
        <v>0.00</v>
      </c>
      <c r="M49" s="4" t="str">
        <f t="shared" si="58"/>
        <v>0.000</v>
      </c>
      <c r="N49" s="4" t="str">
        <f t="shared" si="101"/>
        <v>4.95</v>
      </c>
      <c r="O49" s="4" t="str">
        <f t="shared" si="59"/>
        <v>0</v>
      </c>
      <c r="P49" s="4" t="str">
        <f t="shared" si="104"/>
        <v>0.00</v>
      </c>
      <c r="Q49" s="4" t="str">
        <f t="shared" si="104"/>
        <v>0.00</v>
      </c>
      <c r="R49" s="4" t="str">
        <f t="shared" si="104"/>
        <v>0.00</v>
      </c>
      <c r="S49" s="4" t="str">
        <f t="shared" si="104"/>
        <v>0.00</v>
      </c>
      <c r="T49" s="4" t="str">
        <f t="shared" si="104"/>
        <v>0.00</v>
      </c>
      <c r="U49" s="4" t="str">
        <f t="shared" si="104"/>
        <v>0.00</v>
      </c>
      <c r="V49" s="4" t="str">
        <f t="shared" si="104"/>
        <v>0.00</v>
      </c>
      <c r="W49" s="4" t="str">
        <f t="shared" si="104"/>
        <v>0.00</v>
      </c>
      <c r="X49" s="4" t="str">
        <f t="shared" si="60"/>
        <v>0.00000</v>
      </c>
      <c r="Y49" s="4" t="str">
        <f t="shared" si="61"/>
        <v>0</v>
      </c>
      <c r="Z49" s="4" t="str">
        <f t="shared" si="62"/>
        <v>0</v>
      </c>
      <c r="AA49" s="4" t="str">
        <f t="shared" si="15"/>
        <v>人民币</v>
      </c>
      <c r="AB49" s="4" t="str">
        <f t="shared" si="16"/>
        <v>A368402599</v>
      </c>
    </row>
    <row r="50" spans="1:28">
      <c r="A50" s="4" t="str">
        <f>"20210615"</f>
        <v>20210615</v>
      </c>
      <c r="B50" s="4" t="str">
        <f>"20210615"</f>
        <v>20210615</v>
      </c>
      <c r="C50" s="4" t="str">
        <f t="shared" si="50"/>
        <v>0</v>
      </c>
      <c r="D50" s="4" t="str">
        <f t="shared" si="51"/>
        <v>00:00:00</v>
      </c>
      <c r="E50" s="4" t="str">
        <f t="shared" si="52"/>
        <v>港股通组合费</v>
      </c>
      <c r="F50" s="4" t="str">
        <f t="shared" si="53"/>
        <v/>
      </c>
      <c r="G50" s="4" t="str">
        <f t="shared" si="54"/>
        <v/>
      </c>
      <c r="H50" s="4" t="str">
        <f t="shared" si="55"/>
        <v>0.00</v>
      </c>
      <c r="I50" s="4" t="str">
        <f t="shared" si="56"/>
        <v>0</v>
      </c>
      <c r="J50" s="4" t="str">
        <f>"0.20"</f>
        <v>0.20</v>
      </c>
      <c r="K50" s="4" t="str">
        <f>"-0.20"</f>
        <v>-0.20</v>
      </c>
      <c r="L50" s="4" t="str">
        <f t="shared" ref="L50:W50" si="105">"0.00"</f>
        <v>0.00</v>
      </c>
      <c r="M50" s="4" t="str">
        <f t="shared" si="58"/>
        <v>0.000</v>
      </c>
      <c r="N50" s="4" t="str">
        <f>"4.80"</f>
        <v>4.80</v>
      </c>
      <c r="O50" s="4" t="str">
        <f t="shared" si="59"/>
        <v>0</v>
      </c>
      <c r="P50" s="4" t="str">
        <f t="shared" si="105"/>
        <v>0.00</v>
      </c>
      <c r="Q50" s="4" t="str">
        <f t="shared" si="105"/>
        <v>0.00</v>
      </c>
      <c r="R50" s="4" t="str">
        <f t="shared" si="105"/>
        <v>0.00</v>
      </c>
      <c r="S50" s="4" t="str">
        <f t="shared" si="105"/>
        <v>0.00</v>
      </c>
      <c r="T50" s="4" t="str">
        <f t="shared" si="105"/>
        <v>0.00</v>
      </c>
      <c r="U50" s="4" t="str">
        <f t="shared" si="105"/>
        <v>0.00</v>
      </c>
      <c r="V50" s="4" t="str">
        <f t="shared" si="105"/>
        <v>0.00</v>
      </c>
      <c r="W50" s="4" t="str">
        <f t="shared" si="105"/>
        <v>0.00</v>
      </c>
      <c r="X50" s="4" t="str">
        <f t="shared" si="60"/>
        <v>0.00000</v>
      </c>
      <c r="Y50" s="4" t="str">
        <f t="shared" si="61"/>
        <v>0</v>
      </c>
      <c r="Z50" s="4" t="str">
        <f t="shared" si="62"/>
        <v>0</v>
      </c>
      <c r="AA50" s="4" t="str">
        <f t="shared" si="15"/>
        <v>人民币</v>
      </c>
      <c r="AB50" s="4" t="str">
        <f t="shared" si="16"/>
        <v>A368402599</v>
      </c>
    </row>
    <row r="51" spans="1:28">
      <c r="A51" s="4" t="str">
        <f>"20210616"</f>
        <v>20210616</v>
      </c>
      <c r="B51" s="4" t="str">
        <f>"20210616"</f>
        <v>20210616</v>
      </c>
      <c r="C51" s="4" t="str">
        <f t="shared" si="50"/>
        <v>0</v>
      </c>
      <c r="D51" s="4" t="str">
        <f t="shared" si="51"/>
        <v>00:00:00</v>
      </c>
      <c r="E51" s="4" t="str">
        <f t="shared" si="52"/>
        <v>港股通组合费</v>
      </c>
      <c r="F51" s="4" t="str">
        <f t="shared" si="53"/>
        <v/>
      </c>
      <c r="G51" s="4" t="str">
        <f t="shared" si="54"/>
        <v/>
      </c>
      <c r="H51" s="4" t="str">
        <f t="shared" si="55"/>
        <v>0.00</v>
      </c>
      <c r="I51" s="4" t="str">
        <f t="shared" si="56"/>
        <v>0</v>
      </c>
      <c r="J51" s="4" t="str">
        <f t="shared" ref="J51:J53" si="106">"0.05"</f>
        <v>0.05</v>
      </c>
      <c r="K51" s="4" t="str">
        <f t="shared" ref="K51:K53" si="107">"-0.05"</f>
        <v>-0.05</v>
      </c>
      <c r="L51" s="4" t="str">
        <f t="shared" ref="L51:W51" si="108">"0.00"</f>
        <v>0.00</v>
      </c>
      <c r="M51" s="4" t="str">
        <f t="shared" si="58"/>
        <v>0.000</v>
      </c>
      <c r="N51" s="4" t="str">
        <f t="shared" ref="N51:N58" si="109">"4.95"</f>
        <v>4.95</v>
      </c>
      <c r="O51" s="4" t="str">
        <f t="shared" si="59"/>
        <v>0</v>
      </c>
      <c r="P51" s="4" t="str">
        <f t="shared" si="108"/>
        <v>0.00</v>
      </c>
      <c r="Q51" s="4" t="str">
        <f t="shared" si="108"/>
        <v>0.00</v>
      </c>
      <c r="R51" s="4" t="str">
        <f t="shared" si="108"/>
        <v>0.00</v>
      </c>
      <c r="S51" s="4" t="str">
        <f t="shared" si="108"/>
        <v>0.00</v>
      </c>
      <c r="T51" s="4" t="str">
        <f t="shared" si="108"/>
        <v>0.00</v>
      </c>
      <c r="U51" s="4" t="str">
        <f t="shared" si="108"/>
        <v>0.00</v>
      </c>
      <c r="V51" s="4" t="str">
        <f t="shared" si="108"/>
        <v>0.00</v>
      </c>
      <c r="W51" s="4" t="str">
        <f t="shared" si="108"/>
        <v>0.00</v>
      </c>
      <c r="X51" s="4" t="str">
        <f t="shared" si="60"/>
        <v>0.00000</v>
      </c>
      <c r="Y51" s="4" t="str">
        <f t="shared" si="61"/>
        <v>0</v>
      </c>
      <c r="Z51" s="4" t="str">
        <f t="shared" si="62"/>
        <v>0</v>
      </c>
      <c r="AA51" s="4" t="str">
        <f t="shared" si="15"/>
        <v>人民币</v>
      </c>
      <c r="AB51" s="4" t="str">
        <f t="shared" si="16"/>
        <v>A368402599</v>
      </c>
    </row>
    <row r="52" spans="1:28">
      <c r="A52" s="4" t="str">
        <f>"20210617"</f>
        <v>20210617</v>
      </c>
      <c r="B52" s="4" t="str">
        <f>"20210617"</f>
        <v>20210617</v>
      </c>
      <c r="C52" s="4" t="str">
        <f t="shared" si="50"/>
        <v>0</v>
      </c>
      <c r="D52" s="4" t="str">
        <f t="shared" si="51"/>
        <v>00:00:00</v>
      </c>
      <c r="E52" s="4" t="str">
        <f t="shared" si="52"/>
        <v>港股通组合费</v>
      </c>
      <c r="F52" s="4" t="str">
        <f t="shared" si="53"/>
        <v/>
      </c>
      <c r="G52" s="4" t="str">
        <f t="shared" si="54"/>
        <v/>
      </c>
      <c r="H52" s="4" t="str">
        <f t="shared" si="55"/>
        <v>0.00</v>
      </c>
      <c r="I52" s="4" t="str">
        <f t="shared" si="56"/>
        <v>0</v>
      </c>
      <c r="J52" s="4" t="str">
        <f t="shared" si="106"/>
        <v>0.05</v>
      </c>
      <c r="K52" s="4" t="str">
        <f t="shared" si="107"/>
        <v>-0.05</v>
      </c>
      <c r="L52" s="4" t="str">
        <f t="shared" ref="L52:W52" si="110">"0.00"</f>
        <v>0.00</v>
      </c>
      <c r="M52" s="4" t="str">
        <f t="shared" si="58"/>
        <v>0.000</v>
      </c>
      <c r="N52" s="4" t="str">
        <f t="shared" si="109"/>
        <v>4.95</v>
      </c>
      <c r="O52" s="4" t="str">
        <f t="shared" si="59"/>
        <v>0</v>
      </c>
      <c r="P52" s="4" t="str">
        <f t="shared" si="110"/>
        <v>0.00</v>
      </c>
      <c r="Q52" s="4" t="str">
        <f t="shared" si="110"/>
        <v>0.00</v>
      </c>
      <c r="R52" s="4" t="str">
        <f t="shared" si="110"/>
        <v>0.00</v>
      </c>
      <c r="S52" s="4" t="str">
        <f t="shared" si="110"/>
        <v>0.00</v>
      </c>
      <c r="T52" s="4" t="str">
        <f t="shared" si="110"/>
        <v>0.00</v>
      </c>
      <c r="U52" s="4" t="str">
        <f t="shared" si="110"/>
        <v>0.00</v>
      </c>
      <c r="V52" s="4" t="str">
        <f t="shared" si="110"/>
        <v>0.00</v>
      </c>
      <c r="W52" s="4" t="str">
        <f t="shared" si="110"/>
        <v>0.00</v>
      </c>
      <c r="X52" s="4" t="str">
        <f t="shared" si="60"/>
        <v>0.00000</v>
      </c>
      <c r="Y52" s="4" t="str">
        <f t="shared" si="61"/>
        <v>0</v>
      </c>
      <c r="Z52" s="4" t="str">
        <f t="shared" si="62"/>
        <v>0</v>
      </c>
      <c r="AA52" s="4" t="str">
        <f t="shared" si="15"/>
        <v>人民币</v>
      </c>
      <c r="AB52" s="4" t="str">
        <f t="shared" si="16"/>
        <v>A368402599</v>
      </c>
    </row>
    <row r="53" spans="1:28">
      <c r="A53" s="4" t="str">
        <f>"20210618"</f>
        <v>20210618</v>
      </c>
      <c r="B53" s="4" t="str">
        <f>"20210618"</f>
        <v>20210618</v>
      </c>
      <c r="C53" s="4" t="str">
        <f t="shared" si="50"/>
        <v>0</v>
      </c>
      <c r="D53" s="4" t="str">
        <f t="shared" si="51"/>
        <v>00:00:00</v>
      </c>
      <c r="E53" s="4" t="str">
        <f t="shared" si="52"/>
        <v>港股通组合费</v>
      </c>
      <c r="F53" s="4" t="str">
        <f t="shared" si="53"/>
        <v/>
      </c>
      <c r="G53" s="4" t="str">
        <f t="shared" si="54"/>
        <v/>
      </c>
      <c r="H53" s="4" t="str">
        <f t="shared" si="55"/>
        <v>0.00</v>
      </c>
      <c r="I53" s="4" t="str">
        <f t="shared" si="56"/>
        <v>0</v>
      </c>
      <c r="J53" s="4" t="str">
        <f t="shared" si="106"/>
        <v>0.05</v>
      </c>
      <c r="K53" s="4" t="str">
        <f t="shared" si="107"/>
        <v>-0.05</v>
      </c>
      <c r="L53" s="4" t="str">
        <f t="shared" ref="L53:W53" si="111">"0.00"</f>
        <v>0.00</v>
      </c>
      <c r="M53" s="4" t="str">
        <f t="shared" si="58"/>
        <v>0.000</v>
      </c>
      <c r="N53" s="4" t="str">
        <f>"5.68"</f>
        <v>5.68</v>
      </c>
      <c r="O53" s="4" t="str">
        <f t="shared" si="59"/>
        <v>0</v>
      </c>
      <c r="P53" s="4" t="str">
        <f t="shared" si="111"/>
        <v>0.00</v>
      </c>
      <c r="Q53" s="4" t="str">
        <f t="shared" si="111"/>
        <v>0.00</v>
      </c>
      <c r="R53" s="4" t="str">
        <f t="shared" si="111"/>
        <v>0.00</v>
      </c>
      <c r="S53" s="4" t="str">
        <f t="shared" si="111"/>
        <v>0.00</v>
      </c>
      <c r="T53" s="4" t="str">
        <f t="shared" si="111"/>
        <v>0.00</v>
      </c>
      <c r="U53" s="4" t="str">
        <f t="shared" si="111"/>
        <v>0.00</v>
      </c>
      <c r="V53" s="4" t="str">
        <f t="shared" si="111"/>
        <v>0.00</v>
      </c>
      <c r="W53" s="4" t="str">
        <f t="shared" si="111"/>
        <v>0.00</v>
      </c>
      <c r="X53" s="4" t="str">
        <f t="shared" si="60"/>
        <v>0.00000</v>
      </c>
      <c r="Y53" s="4" t="str">
        <f t="shared" si="61"/>
        <v>0</v>
      </c>
      <c r="Z53" s="4" t="str">
        <f t="shared" si="62"/>
        <v>0</v>
      </c>
      <c r="AA53" s="4" t="str">
        <f t="shared" si="15"/>
        <v>人民币</v>
      </c>
      <c r="AB53" s="4" t="str">
        <f t="shared" si="16"/>
        <v>A368402599</v>
      </c>
    </row>
    <row r="54" spans="1:28">
      <c r="A54" s="4" t="str">
        <f>"20210621"</f>
        <v>20210621</v>
      </c>
      <c r="B54" s="4" t="str">
        <f>"20210621"</f>
        <v>20210621</v>
      </c>
      <c r="C54" s="4" t="str">
        <f t="shared" si="50"/>
        <v>0</v>
      </c>
      <c r="D54" s="4" t="str">
        <f t="shared" si="51"/>
        <v>00:00:00</v>
      </c>
      <c r="E54" s="4" t="str">
        <f t="shared" si="52"/>
        <v>港股通组合费</v>
      </c>
      <c r="F54" s="4" t="str">
        <f t="shared" si="53"/>
        <v/>
      </c>
      <c r="G54" s="4" t="str">
        <f t="shared" si="54"/>
        <v/>
      </c>
      <c r="H54" s="4" t="str">
        <f t="shared" si="55"/>
        <v>0.00</v>
      </c>
      <c r="I54" s="4" t="str">
        <f t="shared" si="56"/>
        <v>0</v>
      </c>
      <c r="J54" s="4" t="str">
        <f>"0.15"</f>
        <v>0.15</v>
      </c>
      <c r="K54" s="4" t="str">
        <f>"-0.15"</f>
        <v>-0.15</v>
      </c>
      <c r="L54" s="4" t="str">
        <f t="shared" ref="L54:W54" si="112">"0.00"</f>
        <v>0.00</v>
      </c>
      <c r="M54" s="4" t="str">
        <f t="shared" si="58"/>
        <v>0.000</v>
      </c>
      <c r="N54" s="4" t="str">
        <f>"4.85"</f>
        <v>4.85</v>
      </c>
      <c r="O54" s="4" t="str">
        <f t="shared" si="59"/>
        <v>0</v>
      </c>
      <c r="P54" s="4" t="str">
        <f t="shared" si="112"/>
        <v>0.00</v>
      </c>
      <c r="Q54" s="4" t="str">
        <f t="shared" si="112"/>
        <v>0.00</v>
      </c>
      <c r="R54" s="4" t="str">
        <f t="shared" si="112"/>
        <v>0.00</v>
      </c>
      <c r="S54" s="4" t="str">
        <f t="shared" si="112"/>
        <v>0.00</v>
      </c>
      <c r="T54" s="4" t="str">
        <f t="shared" si="112"/>
        <v>0.00</v>
      </c>
      <c r="U54" s="4" t="str">
        <f t="shared" si="112"/>
        <v>0.00</v>
      </c>
      <c r="V54" s="4" t="str">
        <f t="shared" si="112"/>
        <v>0.00</v>
      </c>
      <c r="W54" s="4" t="str">
        <f t="shared" si="112"/>
        <v>0.00</v>
      </c>
      <c r="X54" s="4" t="str">
        <f t="shared" si="60"/>
        <v>0.00000</v>
      </c>
      <c r="Y54" s="4" t="str">
        <f t="shared" si="61"/>
        <v>0</v>
      </c>
      <c r="Z54" s="4" t="str">
        <f t="shared" si="62"/>
        <v>0</v>
      </c>
      <c r="AA54" s="4" t="str">
        <f t="shared" si="15"/>
        <v>人民币</v>
      </c>
      <c r="AB54" s="4" t="str">
        <f t="shared" si="16"/>
        <v>A368402599</v>
      </c>
    </row>
    <row r="55" spans="1:28">
      <c r="A55" s="4" t="str">
        <f>"20210622"</f>
        <v>20210622</v>
      </c>
      <c r="B55" s="4" t="str">
        <f>"20210622"</f>
        <v>20210622</v>
      </c>
      <c r="C55" s="4" t="str">
        <f t="shared" si="50"/>
        <v>0</v>
      </c>
      <c r="D55" s="4" t="str">
        <f t="shared" si="51"/>
        <v>00:00:00</v>
      </c>
      <c r="E55" s="4" t="str">
        <f t="shared" si="52"/>
        <v>港股通组合费</v>
      </c>
      <c r="F55" s="4" t="str">
        <f t="shared" si="53"/>
        <v/>
      </c>
      <c r="G55" s="4" t="str">
        <f t="shared" si="54"/>
        <v/>
      </c>
      <c r="H55" s="4" t="str">
        <f t="shared" si="55"/>
        <v>0.00</v>
      </c>
      <c r="I55" s="4" t="str">
        <f t="shared" si="56"/>
        <v>0</v>
      </c>
      <c r="J55" s="4" t="str">
        <f t="shared" ref="J55:J58" si="113">"0.05"</f>
        <v>0.05</v>
      </c>
      <c r="K55" s="4" t="str">
        <f t="shared" ref="K55:K58" si="114">"-0.05"</f>
        <v>-0.05</v>
      </c>
      <c r="L55" s="4" t="str">
        <f t="shared" ref="L55:W55" si="115">"0.00"</f>
        <v>0.00</v>
      </c>
      <c r="M55" s="4" t="str">
        <f t="shared" si="58"/>
        <v>0.000</v>
      </c>
      <c r="N55" s="4" t="str">
        <f>"141.53"</f>
        <v>141.53</v>
      </c>
      <c r="O55" s="4" t="str">
        <f t="shared" si="59"/>
        <v>0</v>
      </c>
      <c r="P55" s="4" t="str">
        <f t="shared" si="115"/>
        <v>0.00</v>
      </c>
      <c r="Q55" s="4" t="str">
        <f t="shared" si="115"/>
        <v>0.00</v>
      </c>
      <c r="R55" s="4" t="str">
        <f t="shared" si="115"/>
        <v>0.00</v>
      </c>
      <c r="S55" s="4" t="str">
        <f t="shared" si="115"/>
        <v>0.00</v>
      </c>
      <c r="T55" s="4" t="str">
        <f t="shared" si="115"/>
        <v>0.00</v>
      </c>
      <c r="U55" s="4" t="str">
        <f t="shared" si="115"/>
        <v>0.00</v>
      </c>
      <c r="V55" s="4" t="str">
        <f t="shared" si="115"/>
        <v>0.00</v>
      </c>
      <c r="W55" s="4" t="str">
        <f t="shared" si="115"/>
        <v>0.00</v>
      </c>
      <c r="X55" s="4" t="str">
        <f t="shared" si="60"/>
        <v>0.00000</v>
      </c>
      <c r="Y55" s="4" t="str">
        <f t="shared" si="61"/>
        <v>0</v>
      </c>
      <c r="Z55" s="4" t="str">
        <f t="shared" si="62"/>
        <v>0</v>
      </c>
      <c r="AA55" s="4" t="str">
        <f t="shared" si="15"/>
        <v>人民币</v>
      </c>
      <c r="AB55" s="4" t="str">
        <f t="shared" si="16"/>
        <v>A368402599</v>
      </c>
    </row>
    <row r="56" spans="1:28">
      <c r="A56" s="4" t="str">
        <f>"20210623"</f>
        <v>20210623</v>
      </c>
      <c r="B56" s="4" t="str">
        <f>"20210623"</f>
        <v>20210623</v>
      </c>
      <c r="C56" s="4" t="str">
        <f t="shared" si="50"/>
        <v>0</v>
      </c>
      <c r="D56" s="4" t="str">
        <f t="shared" si="51"/>
        <v>00:00:00</v>
      </c>
      <c r="E56" s="4" t="str">
        <f t="shared" si="52"/>
        <v>港股通组合费</v>
      </c>
      <c r="F56" s="4" t="str">
        <f t="shared" si="53"/>
        <v/>
      </c>
      <c r="G56" s="4" t="str">
        <f t="shared" si="54"/>
        <v/>
      </c>
      <c r="H56" s="4" t="str">
        <f t="shared" si="55"/>
        <v>0.00</v>
      </c>
      <c r="I56" s="4" t="str">
        <f t="shared" si="56"/>
        <v>0</v>
      </c>
      <c r="J56" s="4" t="str">
        <f t="shared" si="113"/>
        <v>0.05</v>
      </c>
      <c r="K56" s="4" t="str">
        <f t="shared" si="114"/>
        <v>-0.05</v>
      </c>
      <c r="L56" s="4" t="str">
        <f t="shared" ref="L56:W56" si="116">"0.00"</f>
        <v>0.00</v>
      </c>
      <c r="M56" s="4" t="str">
        <f t="shared" si="58"/>
        <v>0.000</v>
      </c>
      <c r="N56" s="4" t="str">
        <f t="shared" si="109"/>
        <v>4.95</v>
      </c>
      <c r="O56" s="4" t="str">
        <f t="shared" si="59"/>
        <v>0</v>
      </c>
      <c r="P56" s="4" t="str">
        <f t="shared" si="116"/>
        <v>0.00</v>
      </c>
      <c r="Q56" s="4" t="str">
        <f t="shared" si="116"/>
        <v>0.00</v>
      </c>
      <c r="R56" s="4" t="str">
        <f t="shared" si="116"/>
        <v>0.00</v>
      </c>
      <c r="S56" s="4" t="str">
        <f t="shared" si="116"/>
        <v>0.00</v>
      </c>
      <c r="T56" s="4" t="str">
        <f t="shared" si="116"/>
        <v>0.00</v>
      </c>
      <c r="U56" s="4" t="str">
        <f t="shared" si="116"/>
        <v>0.00</v>
      </c>
      <c r="V56" s="4" t="str">
        <f t="shared" si="116"/>
        <v>0.00</v>
      </c>
      <c r="W56" s="4" t="str">
        <f t="shared" si="116"/>
        <v>0.00</v>
      </c>
      <c r="X56" s="4" t="str">
        <f t="shared" si="60"/>
        <v>0.00000</v>
      </c>
      <c r="Y56" s="4" t="str">
        <f t="shared" si="61"/>
        <v>0</v>
      </c>
      <c r="Z56" s="4" t="str">
        <f t="shared" si="62"/>
        <v>0</v>
      </c>
      <c r="AA56" s="4" t="str">
        <f t="shared" si="15"/>
        <v>人民币</v>
      </c>
      <c r="AB56" s="4" t="str">
        <f t="shared" si="16"/>
        <v>A368402599</v>
      </c>
    </row>
    <row r="57" spans="1:28">
      <c r="A57" s="4" t="str">
        <f>"20210624"</f>
        <v>20210624</v>
      </c>
      <c r="B57" s="4" t="str">
        <f>"20210624"</f>
        <v>20210624</v>
      </c>
      <c r="C57" s="4" t="str">
        <f t="shared" si="50"/>
        <v>0</v>
      </c>
      <c r="D57" s="4" t="str">
        <f t="shared" si="51"/>
        <v>00:00:00</v>
      </c>
      <c r="E57" s="4" t="str">
        <f t="shared" si="52"/>
        <v>港股通组合费</v>
      </c>
      <c r="F57" s="4" t="str">
        <f t="shared" si="53"/>
        <v/>
      </c>
      <c r="G57" s="4" t="str">
        <f t="shared" si="54"/>
        <v/>
      </c>
      <c r="H57" s="4" t="str">
        <f t="shared" si="55"/>
        <v>0.00</v>
      </c>
      <c r="I57" s="4" t="str">
        <f t="shared" si="56"/>
        <v>0</v>
      </c>
      <c r="J57" s="4" t="str">
        <f t="shared" si="113"/>
        <v>0.05</v>
      </c>
      <c r="K57" s="4" t="str">
        <f t="shared" si="114"/>
        <v>-0.05</v>
      </c>
      <c r="L57" s="4" t="str">
        <f t="shared" ref="L57:W57" si="117">"0.00"</f>
        <v>0.00</v>
      </c>
      <c r="M57" s="4" t="str">
        <f t="shared" si="58"/>
        <v>0.000</v>
      </c>
      <c r="N57" s="4" t="str">
        <f t="shared" si="109"/>
        <v>4.95</v>
      </c>
      <c r="O57" s="4" t="str">
        <f t="shared" si="59"/>
        <v>0</v>
      </c>
      <c r="P57" s="4" t="str">
        <f t="shared" si="117"/>
        <v>0.00</v>
      </c>
      <c r="Q57" s="4" t="str">
        <f t="shared" si="117"/>
        <v>0.00</v>
      </c>
      <c r="R57" s="4" t="str">
        <f t="shared" si="117"/>
        <v>0.00</v>
      </c>
      <c r="S57" s="4" t="str">
        <f t="shared" si="117"/>
        <v>0.00</v>
      </c>
      <c r="T57" s="4" t="str">
        <f t="shared" si="117"/>
        <v>0.00</v>
      </c>
      <c r="U57" s="4" t="str">
        <f t="shared" si="117"/>
        <v>0.00</v>
      </c>
      <c r="V57" s="4" t="str">
        <f t="shared" si="117"/>
        <v>0.00</v>
      </c>
      <c r="W57" s="4" t="str">
        <f t="shared" si="117"/>
        <v>0.00</v>
      </c>
      <c r="X57" s="4" t="str">
        <f t="shared" si="60"/>
        <v>0.00000</v>
      </c>
      <c r="Y57" s="4" t="str">
        <f t="shared" si="61"/>
        <v>0</v>
      </c>
      <c r="Z57" s="4" t="str">
        <f t="shared" si="62"/>
        <v>0</v>
      </c>
      <c r="AA57" s="4" t="str">
        <f t="shared" si="15"/>
        <v>人民币</v>
      </c>
      <c r="AB57" s="4" t="str">
        <f t="shared" si="16"/>
        <v>A368402599</v>
      </c>
    </row>
    <row r="58" spans="1:28">
      <c r="A58" s="4" t="str">
        <f>"20210625"</f>
        <v>20210625</v>
      </c>
      <c r="B58" s="4" t="str">
        <f>"20210625"</f>
        <v>20210625</v>
      </c>
      <c r="C58" s="4" t="str">
        <f t="shared" si="50"/>
        <v>0</v>
      </c>
      <c r="D58" s="4" t="str">
        <f t="shared" si="51"/>
        <v>00:00:00</v>
      </c>
      <c r="E58" s="4" t="str">
        <f t="shared" si="52"/>
        <v>港股通组合费</v>
      </c>
      <c r="F58" s="4" t="str">
        <f t="shared" si="53"/>
        <v/>
      </c>
      <c r="G58" s="4" t="str">
        <f t="shared" si="54"/>
        <v/>
      </c>
      <c r="H58" s="4" t="str">
        <f t="shared" si="55"/>
        <v>0.00</v>
      </c>
      <c r="I58" s="4" t="str">
        <f t="shared" si="56"/>
        <v>0</v>
      </c>
      <c r="J58" s="4" t="str">
        <f t="shared" si="113"/>
        <v>0.05</v>
      </c>
      <c r="K58" s="4" t="str">
        <f t="shared" si="114"/>
        <v>-0.05</v>
      </c>
      <c r="L58" s="4" t="str">
        <f t="shared" ref="L58:W58" si="118">"0.00"</f>
        <v>0.00</v>
      </c>
      <c r="M58" s="4" t="str">
        <f t="shared" si="58"/>
        <v>0.000</v>
      </c>
      <c r="N58" s="4" t="str">
        <f t="shared" si="109"/>
        <v>4.95</v>
      </c>
      <c r="O58" s="4" t="str">
        <f t="shared" si="59"/>
        <v>0</v>
      </c>
      <c r="P58" s="4" t="str">
        <f t="shared" si="118"/>
        <v>0.00</v>
      </c>
      <c r="Q58" s="4" t="str">
        <f t="shared" si="118"/>
        <v>0.00</v>
      </c>
      <c r="R58" s="4" t="str">
        <f t="shared" si="118"/>
        <v>0.00</v>
      </c>
      <c r="S58" s="4" t="str">
        <f t="shared" si="118"/>
        <v>0.00</v>
      </c>
      <c r="T58" s="4" t="str">
        <f t="shared" si="118"/>
        <v>0.00</v>
      </c>
      <c r="U58" s="4" t="str">
        <f t="shared" si="118"/>
        <v>0.00</v>
      </c>
      <c r="V58" s="4" t="str">
        <f t="shared" si="118"/>
        <v>0.00</v>
      </c>
      <c r="W58" s="4" t="str">
        <f t="shared" si="118"/>
        <v>0.00</v>
      </c>
      <c r="X58" s="4" t="str">
        <f t="shared" si="60"/>
        <v>0.00000</v>
      </c>
      <c r="Y58" s="4" t="str">
        <f t="shared" si="61"/>
        <v>0</v>
      </c>
      <c r="Z58" s="4" t="str">
        <f t="shared" si="62"/>
        <v>0</v>
      </c>
      <c r="AA58" s="4" t="str">
        <f t="shared" si="15"/>
        <v>人民币</v>
      </c>
      <c r="AB58" s="4" t="str">
        <f t="shared" si="16"/>
        <v>A368402599</v>
      </c>
    </row>
    <row r="59" spans="1:28">
      <c r="A59" s="4" t="str">
        <f>"20210628"</f>
        <v>20210628</v>
      </c>
      <c r="B59" s="4" t="str">
        <f>"20210628"</f>
        <v>20210628</v>
      </c>
      <c r="C59" s="4" t="str">
        <f t="shared" si="50"/>
        <v>0</v>
      </c>
      <c r="D59" s="4" t="str">
        <f t="shared" si="51"/>
        <v>00:00:00</v>
      </c>
      <c r="E59" s="4" t="str">
        <f t="shared" si="52"/>
        <v>港股通组合费</v>
      </c>
      <c r="F59" s="4" t="str">
        <f t="shared" si="53"/>
        <v/>
      </c>
      <c r="G59" s="4" t="str">
        <f t="shared" si="54"/>
        <v/>
      </c>
      <c r="H59" s="4" t="str">
        <f t="shared" si="55"/>
        <v>0.00</v>
      </c>
      <c r="I59" s="4" t="str">
        <f t="shared" si="56"/>
        <v>0</v>
      </c>
      <c r="J59" s="4" t="str">
        <f>"0.15"</f>
        <v>0.15</v>
      </c>
      <c r="K59" s="4" t="str">
        <f>"-0.15"</f>
        <v>-0.15</v>
      </c>
      <c r="L59" s="4" t="str">
        <f t="shared" ref="L59:W59" si="119">"0.00"</f>
        <v>0.00</v>
      </c>
      <c r="M59" s="4" t="str">
        <f t="shared" si="58"/>
        <v>0.000</v>
      </c>
      <c r="N59" s="4" t="str">
        <f>"4.85"</f>
        <v>4.85</v>
      </c>
      <c r="O59" s="4" t="str">
        <f t="shared" si="59"/>
        <v>0</v>
      </c>
      <c r="P59" s="4" t="str">
        <f t="shared" si="119"/>
        <v>0.00</v>
      </c>
      <c r="Q59" s="4" t="str">
        <f t="shared" si="119"/>
        <v>0.00</v>
      </c>
      <c r="R59" s="4" t="str">
        <f t="shared" si="119"/>
        <v>0.00</v>
      </c>
      <c r="S59" s="4" t="str">
        <f t="shared" si="119"/>
        <v>0.00</v>
      </c>
      <c r="T59" s="4" t="str">
        <f t="shared" si="119"/>
        <v>0.00</v>
      </c>
      <c r="U59" s="4" t="str">
        <f t="shared" si="119"/>
        <v>0.00</v>
      </c>
      <c r="V59" s="4" t="str">
        <f t="shared" si="119"/>
        <v>0.00</v>
      </c>
      <c r="W59" s="4" t="str">
        <f t="shared" si="119"/>
        <v>0.00</v>
      </c>
      <c r="X59" s="4" t="str">
        <f t="shared" si="60"/>
        <v>0.00000</v>
      </c>
      <c r="Y59" s="4" t="str">
        <f t="shared" si="61"/>
        <v>0</v>
      </c>
      <c r="Z59" s="4" t="str">
        <f t="shared" si="62"/>
        <v>0</v>
      </c>
      <c r="AA59" s="4" t="str">
        <f t="shared" si="15"/>
        <v>人民币</v>
      </c>
      <c r="AB59" s="4" t="str">
        <f t="shared" si="16"/>
        <v>A368402599</v>
      </c>
    </row>
    <row r="60" spans="1:28">
      <c r="A60" s="4" t="str">
        <f>"20210629"</f>
        <v>20210629</v>
      </c>
      <c r="B60" s="4" t="str">
        <f>"20210629"</f>
        <v>20210629</v>
      </c>
      <c r="C60" s="4" t="str">
        <f>"20210629"</f>
        <v>20210629</v>
      </c>
      <c r="D60" s="4" t="str">
        <f t="shared" si="51"/>
        <v>00:00:00</v>
      </c>
      <c r="E60" s="4" t="str">
        <f>"港股通红利发放"</f>
        <v>港股通红利发放</v>
      </c>
      <c r="F60" s="4" t="str">
        <f>"00386"</f>
        <v>00386</v>
      </c>
      <c r="G60" s="4" t="str">
        <f>"中国石油"</f>
        <v>中国石油</v>
      </c>
      <c r="H60" s="4" t="str">
        <f>"0.10"</f>
        <v>0.10</v>
      </c>
      <c r="I60" s="4" t="str">
        <f>"54000"</f>
        <v>54000</v>
      </c>
      <c r="J60" s="4" t="str">
        <f>"5616.00"</f>
        <v>5616.00</v>
      </c>
      <c r="K60" s="4" t="str">
        <f>"5616.00"</f>
        <v>5616.00</v>
      </c>
      <c r="L60" s="4" t="str">
        <f t="shared" ref="L60:W60" si="120">"0.00"</f>
        <v>0.00</v>
      </c>
      <c r="M60" s="4" t="str">
        <f t="shared" si="58"/>
        <v>0.000</v>
      </c>
      <c r="N60" s="4" t="str">
        <f>"5621.00"</f>
        <v>5621.00</v>
      </c>
      <c r="O60" s="4" t="str">
        <f>"54000"</f>
        <v>54000</v>
      </c>
      <c r="P60" s="4" t="str">
        <f t="shared" si="120"/>
        <v>0.00</v>
      </c>
      <c r="Q60" s="4" t="str">
        <f t="shared" si="120"/>
        <v>0.00</v>
      </c>
      <c r="R60" s="4" t="str">
        <f t="shared" si="120"/>
        <v>0.00</v>
      </c>
      <c r="S60" s="4" t="str">
        <f t="shared" si="120"/>
        <v>0.00</v>
      </c>
      <c r="T60" s="4" t="str">
        <f t="shared" si="120"/>
        <v>0.00</v>
      </c>
      <c r="U60" s="4" t="str">
        <f t="shared" si="120"/>
        <v>0.00</v>
      </c>
      <c r="V60" s="4" t="str">
        <f t="shared" si="120"/>
        <v>0.00</v>
      </c>
      <c r="W60" s="4" t="str">
        <f t="shared" si="120"/>
        <v>0.00</v>
      </c>
      <c r="X60" s="4" t="str">
        <f>"1.00000"</f>
        <v>1.00000</v>
      </c>
      <c r="Y60" s="4" t="str">
        <f>""</f>
        <v/>
      </c>
      <c r="Z60" s="4" t="str">
        <f t="shared" si="62"/>
        <v>0</v>
      </c>
      <c r="AA60" s="4" t="str">
        <f t="shared" si="15"/>
        <v>人民币</v>
      </c>
      <c r="AB60" s="4" t="str">
        <f t="shared" si="16"/>
        <v>A368402599</v>
      </c>
    </row>
    <row r="61" spans="1:28">
      <c r="A61" s="4" t="str">
        <f>"20210629"</f>
        <v>20210629</v>
      </c>
      <c r="B61" s="4" t="str">
        <f>"20210629"</f>
        <v>20210629</v>
      </c>
      <c r="C61" s="4" t="str">
        <f>"0"</f>
        <v>0</v>
      </c>
      <c r="D61" s="4" t="str">
        <f t="shared" si="51"/>
        <v>00:00:00</v>
      </c>
      <c r="E61" s="4" t="str">
        <f>"港股通组合费"</f>
        <v>港股通组合费</v>
      </c>
      <c r="F61" s="4" t="str">
        <f>""</f>
        <v/>
      </c>
      <c r="G61" s="4" t="str">
        <f>""</f>
        <v/>
      </c>
      <c r="H61" s="4" t="str">
        <f>"0.00"</f>
        <v>0.00</v>
      </c>
      <c r="I61" s="4" t="str">
        <f>"0"</f>
        <v>0</v>
      </c>
      <c r="J61" s="4" t="str">
        <f>"0.05"</f>
        <v>0.05</v>
      </c>
      <c r="K61" s="4" t="str">
        <f>"-0.05"</f>
        <v>-0.05</v>
      </c>
      <c r="L61" s="4" t="str">
        <f t="shared" ref="L61:W61" si="121">"0.00"</f>
        <v>0.00</v>
      </c>
      <c r="M61" s="4" t="str">
        <f t="shared" si="58"/>
        <v>0.000</v>
      </c>
      <c r="N61" s="4" t="str">
        <f>"5620.95"</f>
        <v>5620.95</v>
      </c>
      <c r="O61" s="4" t="str">
        <f>"0"</f>
        <v>0</v>
      </c>
      <c r="P61" s="4" t="str">
        <f t="shared" si="121"/>
        <v>0.00</v>
      </c>
      <c r="Q61" s="4" t="str">
        <f t="shared" si="121"/>
        <v>0.00</v>
      </c>
      <c r="R61" s="4" t="str">
        <f t="shared" si="121"/>
        <v>0.00</v>
      </c>
      <c r="S61" s="4" t="str">
        <f t="shared" si="121"/>
        <v>0.00</v>
      </c>
      <c r="T61" s="4" t="str">
        <f t="shared" si="121"/>
        <v>0.00</v>
      </c>
      <c r="U61" s="4" t="str">
        <f t="shared" si="121"/>
        <v>0.00</v>
      </c>
      <c r="V61" s="4" t="str">
        <f t="shared" si="121"/>
        <v>0.00</v>
      </c>
      <c r="W61" s="4" t="str">
        <f t="shared" si="121"/>
        <v>0.00</v>
      </c>
      <c r="X61" s="4" t="str">
        <f>"0.00000"</f>
        <v>0.00000</v>
      </c>
      <c r="Y61" s="4" t="str">
        <f>"0"</f>
        <v>0</v>
      </c>
      <c r="Z61" s="4" t="str">
        <f t="shared" si="62"/>
        <v>0</v>
      </c>
      <c r="AA61" s="4" t="str">
        <f t="shared" si="15"/>
        <v>人民币</v>
      </c>
      <c r="AB61" s="4" t="str">
        <f t="shared" si="16"/>
        <v>A368402599</v>
      </c>
    </row>
    <row r="62" spans="1:28">
      <c r="A62" s="4" t="str">
        <f>"20210630"</f>
        <v>20210630</v>
      </c>
      <c r="B62" s="4" t="str">
        <f>"20210630"</f>
        <v>20210630</v>
      </c>
      <c r="C62" s="4" t="str">
        <f>"0"</f>
        <v>0</v>
      </c>
      <c r="D62" s="4" t="str">
        <f t="shared" si="51"/>
        <v>00:00:00</v>
      </c>
      <c r="E62" s="4" t="str">
        <f>"港股通组合费"</f>
        <v>港股通组合费</v>
      </c>
      <c r="F62" s="4" t="str">
        <f>""</f>
        <v/>
      </c>
      <c r="G62" s="4" t="str">
        <f>""</f>
        <v/>
      </c>
      <c r="H62" s="4" t="str">
        <f>"0.00"</f>
        <v>0.00</v>
      </c>
      <c r="I62" s="4" t="str">
        <f>"0"</f>
        <v>0</v>
      </c>
      <c r="J62" s="4" t="str">
        <f>"0.05"</f>
        <v>0.05</v>
      </c>
      <c r="K62" s="4" t="str">
        <f>"-0.05"</f>
        <v>-0.05</v>
      </c>
      <c r="L62" s="4" t="str">
        <f t="shared" ref="L62:W62" si="122">"0.00"</f>
        <v>0.00</v>
      </c>
      <c r="M62" s="4" t="str">
        <f t="shared" si="58"/>
        <v>0.000</v>
      </c>
      <c r="N62" s="4" t="str">
        <f>"4.95"</f>
        <v>4.95</v>
      </c>
      <c r="O62" s="4" t="str">
        <f>"0"</f>
        <v>0</v>
      </c>
      <c r="P62" s="4" t="str">
        <f t="shared" si="122"/>
        <v>0.00</v>
      </c>
      <c r="Q62" s="4" t="str">
        <f t="shared" si="122"/>
        <v>0.00</v>
      </c>
      <c r="R62" s="4" t="str">
        <f t="shared" si="122"/>
        <v>0.00</v>
      </c>
      <c r="S62" s="4" t="str">
        <f t="shared" si="122"/>
        <v>0.00</v>
      </c>
      <c r="T62" s="4" t="str">
        <f t="shared" si="122"/>
        <v>0.00</v>
      </c>
      <c r="U62" s="4" t="str">
        <f t="shared" si="122"/>
        <v>0.00</v>
      </c>
      <c r="V62" s="4" t="str">
        <f t="shared" si="122"/>
        <v>0.00</v>
      </c>
      <c r="W62" s="4" t="str">
        <f t="shared" si="122"/>
        <v>0.00</v>
      </c>
      <c r="X62" s="4" t="str">
        <f>"0.00000"</f>
        <v>0.00000</v>
      </c>
      <c r="Y62" s="4" t="str">
        <f>"0"</f>
        <v>0</v>
      </c>
      <c r="Z62" s="4" t="str">
        <f t="shared" si="62"/>
        <v>0</v>
      </c>
      <c r="AA62" s="4" t="str">
        <f t="shared" si="15"/>
        <v>人民币</v>
      </c>
      <c r="AB62" s="4" t="str">
        <f t="shared" si="16"/>
        <v>A368402599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1"/>
  <sheetViews>
    <sheetView zoomScaleSheetLayoutView="60" topLeftCell="A16" workbookViewId="0">
      <selection activeCell="A2" sqref="A2:K91"/>
    </sheetView>
  </sheetViews>
  <sheetFormatPr defaultColWidth="9" defaultRowHeight="13.5"/>
  <cols>
    <col min="1" max="16384" width="9" style="4"/>
  </cols>
  <sheetData>
    <row r="1" spans="1:15">
      <c r="A1" s="4" t="str">
        <f>"成交日期"</f>
        <v>成交日期</v>
      </c>
      <c r="B1" s="4" t="str">
        <f>"委托日期"</f>
        <v>委托日期</v>
      </c>
      <c r="C1" s="4" t="str">
        <f>"业务类型"</f>
        <v>业务类型</v>
      </c>
      <c r="D1" s="4" t="str">
        <f>"证券代码"</f>
        <v>证券代码</v>
      </c>
      <c r="E1" s="4" t="str">
        <f>"证券名称"</f>
        <v>证券名称</v>
      </c>
      <c r="F1" s="4" t="str">
        <f>"成交价格"</f>
        <v>成交价格</v>
      </c>
      <c r="G1" s="4" t="str">
        <f>"成交数量"</f>
        <v>成交数量</v>
      </c>
      <c r="H1" s="4" t="str">
        <f>"成交金额"</f>
        <v>成交金额</v>
      </c>
      <c r="I1" s="4" t="str">
        <f>"发生金额"</f>
        <v>发生金额</v>
      </c>
      <c r="J1" s="4" t="str">
        <f>"资金余额"</f>
        <v>资金余额</v>
      </c>
      <c r="K1" s="4" t="str">
        <f>"当前持仓"</f>
        <v>当前持仓</v>
      </c>
      <c r="L1" s="4" t="str">
        <f>"币种"</f>
        <v>币种</v>
      </c>
      <c r="M1" s="4" t="str">
        <f>"协议编号"</f>
        <v>协议编号</v>
      </c>
      <c r="N1" s="4" t="str">
        <f>"股东代码"</f>
        <v>股东代码</v>
      </c>
      <c r="O1" s="4" t="str">
        <f>"产品账号"</f>
        <v>产品账号</v>
      </c>
    </row>
    <row r="2" spans="1:15">
      <c r="A2" s="4" t="str">
        <f>"20210701"</f>
        <v>20210701</v>
      </c>
      <c r="B2" s="4" t="str">
        <f>"20210701"</f>
        <v>20210701</v>
      </c>
      <c r="C2" s="4" t="str">
        <f>"基金赎回拨入"</f>
        <v>基金赎回拨入</v>
      </c>
      <c r="D2" s="4" t="str">
        <f t="shared" ref="D2:D6" si="0">"AA0007"</f>
        <v>AA0007</v>
      </c>
      <c r="E2" s="4" t="str">
        <f t="shared" ref="E2:E6" si="1">"银河水星1号集合"</f>
        <v>银河水星1号集合</v>
      </c>
      <c r="F2" s="4">
        <v>0</v>
      </c>
      <c r="G2" s="4">
        <v>0</v>
      </c>
      <c r="H2" s="4">
        <v>0</v>
      </c>
      <c r="I2" s="4">
        <v>0.05</v>
      </c>
      <c r="J2" s="4">
        <v>5</v>
      </c>
      <c r="K2" s="4">
        <v>0</v>
      </c>
      <c r="L2" s="4" t="str">
        <f t="shared" ref="L2:L65" si="2">"人民币"</f>
        <v>人民币</v>
      </c>
      <c r="N2" s="4" t="str">
        <f t="shared" ref="N2:N6" si="3">"980149593788"</f>
        <v>980149593788</v>
      </c>
      <c r="O2" s="4" t="str">
        <f t="shared" ref="O2:O65" si="4">"300100052893"</f>
        <v>300100052893</v>
      </c>
    </row>
    <row r="3" spans="1:15">
      <c r="A3" s="4" t="str">
        <f>"20210705"</f>
        <v>20210705</v>
      </c>
      <c r="B3" s="4" t="str">
        <f>"20210705"</f>
        <v>20210705</v>
      </c>
      <c r="C3" s="4" t="str">
        <f>"基金赎回拨入"</f>
        <v>基金赎回拨入</v>
      </c>
      <c r="D3" s="4" t="str">
        <f t="shared" si="0"/>
        <v>AA0007</v>
      </c>
      <c r="E3" s="4" t="str">
        <f t="shared" si="1"/>
        <v>银河水星1号集合</v>
      </c>
      <c r="F3" s="4">
        <v>0</v>
      </c>
      <c r="G3" s="4">
        <v>0</v>
      </c>
      <c r="H3" s="4">
        <v>0</v>
      </c>
      <c r="I3" s="4">
        <v>0.1</v>
      </c>
      <c r="J3" s="4">
        <v>5</v>
      </c>
      <c r="K3" s="4">
        <v>0</v>
      </c>
      <c r="L3" s="4" t="str">
        <f t="shared" si="2"/>
        <v>人民币</v>
      </c>
      <c r="N3" s="4" t="str">
        <f t="shared" si="3"/>
        <v>980149593788</v>
      </c>
      <c r="O3" s="4" t="str">
        <f t="shared" si="4"/>
        <v>300100052893</v>
      </c>
    </row>
    <row r="4" spans="1:15">
      <c r="A4" s="4" t="str">
        <f>"20210706"</f>
        <v>20210706</v>
      </c>
      <c r="B4" s="4" t="str">
        <f>"20210706"</f>
        <v>20210706</v>
      </c>
      <c r="C4" s="4" t="str">
        <f>"基金赎回拨入"</f>
        <v>基金赎回拨入</v>
      </c>
      <c r="D4" s="4" t="str">
        <f t="shared" si="0"/>
        <v>AA0007</v>
      </c>
      <c r="E4" s="4" t="str">
        <f t="shared" si="1"/>
        <v>银河水星1号集合</v>
      </c>
      <c r="F4" s="4">
        <v>0</v>
      </c>
      <c r="G4" s="4">
        <v>59156</v>
      </c>
      <c r="H4" s="4">
        <v>0</v>
      </c>
      <c r="I4" s="4">
        <v>59156.68</v>
      </c>
      <c r="J4" s="4">
        <v>59161.53</v>
      </c>
      <c r="K4" s="4">
        <v>0</v>
      </c>
      <c r="L4" s="4" t="str">
        <f t="shared" si="2"/>
        <v>人民币</v>
      </c>
      <c r="N4" s="4" t="str">
        <f t="shared" si="3"/>
        <v>980149593788</v>
      </c>
      <c r="O4" s="4" t="str">
        <f t="shared" si="4"/>
        <v>300100052893</v>
      </c>
    </row>
    <row r="5" spans="1:15">
      <c r="A5" s="4" t="str">
        <f>"20210706"</f>
        <v>20210706</v>
      </c>
      <c r="B5" s="4" t="str">
        <f>"20210706"</f>
        <v>20210706</v>
      </c>
      <c r="C5" s="4" t="str">
        <f>"证券买入"</f>
        <v>证券买入</v>
      </c>
      <c r="D5" s="4" t="str">
        <f t="shared" ref="D5:D8" si="5">"510300"</f>
        <v>510300</v>
      </c>
      <c r="E5" s="4" t="str">
        <f t="shared" ref="E5:E8" si="6">"300ETF"</f>
        <v>300ETF</v>
      </c>
      <c r="F5" s="4">
        <v>5.099</v>
      </c>
      <c r="G5" s="4">
        <v>11600</v>
      </c>
      <c r="H5" s="4">
        <v>59144.7</v>
      </c>
      <c r="I5" s="4">
        <v>-59156.53</v>
      </c>
      <c r="J5" s="4">
        <v>5</v>
      </c>
      <c r="K5" s="4">
        <v>11600</v>
      </c>
      <c r="L5" s="4" t="str">
        <f t="shared" si="2"/>
        <v>人民币</v>
      </c>
      <c r="M5" s="4" t="str">
        <f>"0136004042"</f>
        <v>0136004042</v>
      </c>
      <c r="N5" s="4" t="str">
        <f t="shared" ref="N5:N8" si="7">"A368402599"</f>
        <v>A368402599</v>
      </c>
      <c r="O5" s="4" t="str">
        <f t="shared" si="4"/>
        <v>300100052893</v>
      </c>
    </row>
    <row r="6" spans="1:15">
      <c r="A6" s="4" t="str">
        <f t="shared" ref="A6:A8" si="8">"20210707"</f>
        <v>20210707</v>
      </c>
      <c r="B6" s="4" t="str">
        <f t="shared" ref="B6:B8" si="9">"20210707"</f>
        <v>20210707</v>
      </c>
      <c r="C6" s="4" t="str">
        <f>"基金申购拨出"</f>
        <v>基金申购拨出</v>
      </c>
      <c r="D6" s="4" t="str">
        <f t="shared" si="0"/>
        <v>AA0007</v>
      </c>
      <c r="E6" s="4" t="str">
        <f t="shared" si="1"/>
        <v>银河水星1号集合</v>
      </c>
      <c r="F6" s="4">
        <v>0</v>
      </c>
      <c r="G6" s="4">
        <v>0</v>
      </c>
      <c r="H6" s="4">
        <v>0</v>
      </c>
      <c r="I6" s="4">
        <v>-10348.95</v>
      </c>
      <c r="J6" s="4">
        <v>-10344</v>
      </c>
      <c r="K6" s="4">
        <v>0</v>
      </c>
      <c r="L6" s="4" t="str">
        <f t="shared" si="2"/>
        <v>人民币</v>
      </c>
      <c r="N6" s="4" t="str">
        <f t="shared" si="3"/>
        <v>980149593788</v>
      </c>
      <c r="O6" s="4" t="str">
        <f t="shared" si="4"/>
        <v>300100052893</v>
      </c>
    </row>
    <row r="7" spans="1:15">
      <c r="A7" s="4" t="str">
        <f t="shared" si="8"/>
        <v>20210707</v>
      </c>
      <c r="B7" s="4" t="str">
        <f t="shared" si="9"/>
        <v>20210707</v>
      </c>
      <c r="C7" s="4" t="str">
        <f>"证券卖出"</f>
        <v>证券卖出</v>
      </c>
      <c r="D7" s="4" t="str">
        <f t="shared" si="5"/>
        <v>510300</v>
      </c>
      <c r="E7" s="4" t="str">
        <f t="shared" si="6"/>
        <v>300ETF</v>
      </c>
      <c r="F7" s="4">
        <v>5.156</v>
      </c>
      <c r="G7" s="4">
        <v>2000</v>
      </c>
      <c r="H7" s="4">
        <v>10312</v>
      </c>
      <c r="I7" s="4">
        <v>10307</v>
      </c>
      <c r="J7" s="4">
        <v>-37</v>
      </c>
      <c r="K7" s="4">
        <v>9600</v>
      </c>
      <c r="L7" s="4" t="str">
        <f t="shared" si="2"/>
        <v>人民币</v>
      </c>
      <c r="M7" s="4" t="str">
        <f>"0136003689"</f>
        <v>0136003689</v>
      </c>
      <c r="N7" s="4" t="str">
        <f t="shared" si="7"/>
        <v>A368402599</v>
      </c>
      <c r="O7" s="4" t="str">
        <f t="shared" si="4"/>
        <v>300100052893</v>
      </c>
    </row>
    <row r="8" spans="1:15">
      <c r="A8" s="4" t="str">
        <f t="shared" si="8"/>
        <v>20210707</v>
      </c>
      <c r="B8" s="4" t="str">
        <f t="shared" si="9"/>
        <v>20210707</v>
      </c>
      <c r="C8" s="4" t="str">
        <f>"证券卖出"</f>
        <v>证券卖出</v>
      </c>
      <c r="D8" s="4" t="str">
        <f t="shared" si="5"/>
        <v>510300</v>
      </c>
      <c r="E8" s="4" t="str">
        <f t="shared" si="6"/>
        <v>300ETF</v>
      </c>
      <c r="F8" s="4">
        <v>5.182</v>
      </c>
      <c r="G8" s="4">
        <v>2000</v>
      </c>
      <c r="H8" s="4">
        <v>10364</v>
      </c>
      <c r="I8" s="4">
        <v>10359</v>
      </c>
      <c r="J8" s="4">
        <v>10322</v>
      </c>
      <c r="K8" s="4">
        <v>7600</v>
      </c>
      <c r="L8" s="4" t="str">
        <f t="shared" si="2"/>
        <v>人民币</v>
      </c>
      <c r="M8" s="4" t="str">
        <f>"0136004261"</f>
        <v>0136004261</v>
      </c>
      <c r="N8" s="4" t="str">
        <f t="shared" si="7"/>
        <v>A368402599</v>
      </c>
      <c r="O8" s="4" t="str">
        <f t="shared" si="4"/>
        <v>300100052893</v>
      </c>
    </row>
    <row r="9" spans="1:15">
      <c r="A9" s="4" t="str">
        <f t="shared" ref="A9:A11" si="10">"20210708"</f>
        <v>20210708</v>
      </c>
      <c r="B9" s="4" t="str">
        <f t="shared" ref="B9:B11" si="11">"20210708"</f>
        <v>20210708</v>
      </c>
      <c r="C9" s="4" t="str">
        <f>"基金赎回拨入"</f>
        <v>基金赎回拨入</v>
      </c>
      <c r="D9" s="4" t="str">
        <f t="shared" ref="D9:D15" si="12">"AA0007"</f>
        <v>AA0007</v>
      </c>
      <c r="E9" s="4" t="str">
        <f t="shared" ref="E9:E15" si="13">"银河水星1号集合"</f>
        <v>银河水星1号集合</v>
      </c>
      <c r="F9" s="4">
        <v>0</v>
      </c>
      <c r="G9" s="4">
        <v>10265</v>
      </c>
      <c r="H9" s="4">
        <v>0</v>
      </c>
      <c r="I9" s="4">
        <v>10265.05</v>
      </c>
      <c r="J9" s="4">
        <v>20587</v>
      </c>
      <c r="K9" s="4">
        <v>0</v>
      </c>
      <c r="L9" s="4" t="str">
        <f t="shared" si="2"/>
        <v>人民币</v>
      </c>
      <c r="N9" s="4" t="str">
        <f t="shared" ref="N9:N15" si="14">"980149593788"</f>
        <v>980149593788</v>
      </c>
      <c r="O9" s="4" t="str">
        <f t="shared" si="4"/>
        <v>300100052893</v>
      </c>
    </row>
    <row r="10" spans="1:15">
      <c r="A10" s="4" t="str">
        <f t="shared" si="10"/>
        <v>20210708</v>
      </c>
      <c r="B10" s="4" t="str">
        <f t="shared" si="11"/>
        <v>20210708</v>
      </c>
      <c r="C10" s="4" t="str">
        <f>"证券买入"</f>
        <v>证券买入</v>
      </c>
      <c r="D10" s="4" t="str">
        <f t="shared" ref="D10:D13" si="15">"510300"</f>
        <v>510300</v>
      </c>
      <c r="E10" s="4" t="str">
        <f t="shared" ref="E10:E13" si="16">"300ETF"</f>
        <v>300ETF</v>
      </c>
      <c r="F10" s="4">
        <v>5.156</v>
      </c>
      <c r="G10" s="4">
        <v>2000</v>
      </c>
      <c r="H10" s="4">
        <v>10312</v>
      </c>
      <c r="I10" s="4">
        <v>-10317</v>
      </c>
      <c r="J10" s="4">
        <v>10270</v>
      </c>
      <c r="K10" s="4">
        <v>9600</v>
      </c>
      <c r="L10" s="4" t="str">
        <f t="shared" si="2"/>
        <v>人民币</v>
      </c>
      <c r="M10" s="4" t="str">
        <f>"0136000185"</f>
        <v>0136000185</v>
      </c>
      <c r="N10" s="4" t="str">
        <f t="shared" ref="N10:N13" si="17">"A368402599"</f>
        <v>A368402599</v>
      </c>
      <c r="O10" s="4" t="str">
        <f t="shared" si="4"/>
        <v>300100052893</v>
      </c>
    </row>
    <row r="11" spans="1:15">
      <c r="A11" s="4" t="str">
        <f t="shared" si="10"/>
        <v>20210708</v>
      </c>
      <c r="B11" s="4" t="str">
        <f t="shared" si="11"/>
        <v>20210708</v>
      </c>
      <c r="C11" s="4" t="str">
        <f>"证券买入"</f>
        <v>证券买入</v>
      </c>
      <c r="D11" s="4" t="str">
        <f t="shared" si="15"/>
        <v>510300</v>
      </c>
      <c r="E11" s="4" t="str">
        <f t="shared" si="16"/>
        <v>300ETF</v>
      </c>
      <c r="F11" s="4">
        <v>5.13</v>
      </c>
      <c r="G11" s="4">
        <v>2000</v>
      </c>
      <c r="H11" s="4">
        <v>10260</v>
      </c>
      <c r="I11" s="4">
        <v>-10265</v>
      </c>
      <c r="J11" s="4">
        <v>5</v>
      </c>
      <c r="K11" s="4">
        <v>11600</v>
      </c>
      <c r="L11" s="4" t="str">
        <f t="shared" si="2"/>
        <v>人民币</v>
      </c>
      <c r="M11" s="4" t="str">
        <f>"0136005598"</f>
        <v>0136005598</v>
      </c>
      <c r="N11" s="4" t="str">
        <f t="shared" si="17"/>
        <v>A368402599</v>
      </c>
      <c r="O11" s="4" t="str">
        <f t="shared" si="4"/>
        <v>300100052893</v>
      </c>
    </row>
    <row r="12" spans="1:15">
      <c r="A12" s="4" t="str">
        <f>"20210709"</f>
        <v>20210709</v>
      </c>
      <c r="B12" s="4" t="str">
        <f>"20210709"</f>
        <v>20210709</v>
      </c>
      <c r="C12" s="4" t="str">
        <f>"基金申购拨出"</f>
        <v>基金申购拨出</v>
      </c>
      <c r="D12" s="4" t="str">
        <f t="shared" si="12"/>
        <v>AA0007</v>
      </c>
      <c r="E12" s="4" t="str">
        <f t="shared" si="13"/>
        <v>银河水星1号集合</v>
      </c>
      <c r="F12" s="4">
        <v>0</v>
      </c>
      <c r="G12" s="4">
        <v>0</v>
      </c>
      <c r="H12" s="4">
        <v>0</v>
      </c>
      <c r="I12" s="4">
        <v>-59322.08</v>
      </c>
      <c r="J12" s="4">
        <v>-59317.13</v>
      </c>
      <c r="K12" s="4">
        <v>0</v>
      </c>
      <c r="L12" s="4" t="str">
        <f t="shared" si="2"/>
        <v>人民币</v>
      </c>
      <c r="N12" s="4" t="str">
        <f t="shared" si="14"/>
        <v>980149593788</v>
      </c>
      <c r="O12" s="4" t="str">
        <f t="shared" si="4"/>
        <v>300100052893</v>
      </c>
    </row>
    <row r="13" spans="1:15">
      <c r="A13" s="4" t="str">
        <f>"20210709"</f>
        <v>20210709</v>
      </c>
      <c r="B13" s="4" t="str">
        <f>"20210709"</f>
        <v>20210709</v>
      </c>
      <c r="C13" s="4" t="str">
        <f>"证券卖出"</f>
        <v>证券卖出</v>
      </c>
      <c r="D13" s="4" t="str">
        <f t="shared" si="15"/>
        <v>510300</v>
      </c>
      <c r="E13" s="4" t="str">
        <f t="shared" si="16"/>
        <v>300ETF</v>
      </c>
      <c r="F13" s="4">
        <v>5.115</v>
      </c>
      <c r="G13" s="4">
        <v>11600</v>
      </c>
      <c r="H13" s="4">
        <v>59334</v>
      </c>
      <c r="I13" s="4">
        <v>59322.13</v>
      </c>
      <c r="J13" s="4">
        <v>5</v>
      </c>
      <c r="K13" s="4">
        <v>0</v>
      </c>
      <c r="L13" s="4" t="str">
        <f t="shared" si="2"/>
        <v>人民币</v>
      </c>
      <c r="M13" s="4" t="str">
        <f>"0136011204"</f>
        <v>0136011204</v>
      </c>
      <c r="N13" s="4" t="str">
        <f t="shared" si="17"/>
        <v>A368402599</v>
      </c>
      <c r="O13" s="4" t="str">
        <f t="shared" si="4"/>
        <v>300100052893</v>
      </c>
    </row>
    <row r="14" spans="1:15">
      <c r="A14" s="4" t="str">
        <f>"20210712"</f>
        <v>20210712</v>
      </c>
      <c r="B14" s="4" t="str">
        <f>"20210712"</f>
        <v>20210712</v>
      </c>
      <c r="C14" s="4" t="str">
        <f t="shared" ref="C14:C17" si="18">"基金赎回拨入"</f>
        <v>基金赎回拨入</v>
      </c>
      <c r="D14" s="4" t="str">
        <f t="shared" si="12"/>
        <v>AA0007</v>
      </c>
      <c r="E14" s="4" t="str">
        <f t="shared" si="13"/>
        <v>银河水星1号集合</v>
      </c>
      <c r="F14" s="4">
        <v>0</v>
      </c>
      <c r="G14" s="4">
        <v>0</v>
      </c>
      <c r="H14" s="4">
        <v>0</v>
      </c>
      <c r="I14" s="4">
        <v>0.04</v>
      </c>
      <c r="J14" s="4">
        <v>5</v>
      </c>
      <c r="K14" s="4">
        <v>0</v>
      </c>
      <c r="L14" s="4" t="str">
        <f t="shared" si="2"/>
        <v>人民币</v>
      </c>
      <c r="N14" s="4" t="str">
        <f t="shared" si="14"/>
        <v>980149593788</v>
      </c>
      <c r="O14" s="4" t="str">
        <f t="shared" si="4"/>
        <v>300100052893</v>
      </c>
    </row>
    <row r="15" spans="1:15">
      <c r="A15" s="4" t="str">
        <f>"20210713"</f>
        <v>20210713</v>
      </c>
      <c r="B15" s="4" t="str">
        <f>"20210713"</f>
        <v>20210713</v>
      </c>
      <c r="C15" s="4" t="str">
        <f t="shared" si="18"/>
        <v>基金赎回拨入</v>
      </c>
      <c r="D15" s="4" t="str">
        <f t="shared" si="12"/>
        <v>AA0007</v>
      </c>
      <c r="E15" s="4" t="str">
        <f t="shared" si="13"/>
        <v>银河水星1号集合</v>
      </c>
      <c r="F15" s="4">
        <v>0</v>
      </c>
      <c r="G15" s="4">
        <v>13175</v>
      </c>
      <c r="H15" s="4">
        <v>0</v>
      </c>
      <c r="I15" s="4">
        <v>13175.13</v>
      </c>
      <c r="J15" s="4">
        <v>13180</v>
      </c>
      <c r="K15" s="4">
        <v>0</v>
      </c>
      <c r="L15" s="4" t="str">
        <f t="shared" si="2"/>
        <v>人民币</v>
      </c>
      <c r="N15" s="4" t="str">
        <f t="shared" si="14"/>
        <v>980149593788</v>
      </c>
      <c r="O15" s="4" t="str">
        <f t="shared" si="4"/>
        <v>300100052893</v>
      </c>
    </row>
    <row r="16" spans="1:15">
      <c r="A16" s="4" t="str">
        <f>"20210713"</f>
        <v>20210713</v>
      </c>
      <c r="B16" s="4" t="str">
        <f>"20210713"</f>
        <v>20210713</v>
      </c>
      <c r="C16" s="4" t="str">
        <f>"证券买入"</f>
        <v>证券买入</v>
      </c>
      <c r="D16" s="4" t="str">
        <f>"300355"</f>
        <v>300355</v>
      </c>
      <c r="E16" s="4" t="str">
        <f>"蒙草生态"</f>
        <v>蒙草生态</v>
      </c>
      <c r="F16" s="4">
        <v>4.39</v>
      </c>
      <c r="G16" s="4">
        <v>3000</v>
      </c>
      <c r="H16" s="4">
        <v>13170</v>
      </c>
      <c r="I16" s="4">
        <v>-13175</v>
      </c>
      <c r="J16" s="4">
        <v>5</v>
      </c>
      <c r="K16" s="4">
        <v>3000</v>
      </c>
      <c r="L16" s="4" t="str">
        <f t="shared" si="2"/>
        <v>人民币</v>
      </c>
      <c r="M16" s="4" t="str">
        <f>"T4009994"</f>
        <v>T4009994</v>
      </c>
      <c r="N16" s="4" t="str">
        <f>"0149593788"</f>
        <v>0149593788</v>
      </c>
      <c r="O16" s="4" t="str">
        <f t="shared" si="4"/>
        <v>300100052893</v>
      </c>
    </row>
    <row r="17" spans="1:15">
      <c r="A17" s="4" t="str">
        <f>"20210714"</f>
        <v>20210714</v>
      </c>
      <c r="B17" s="4" t="str">
        <f>"20210714"</f>
        <v>20210714</v>
      </c>
      <c r="C17" s="4" t="str">
        <f t="shared" si="18"/>
        <v>基金赎回拨入</v>
      </c>
      <c r="D17" s="4" t="str">
        <f t="shared" ref="D17:D23" si="19">"AA0007"</f>
        <v>AA0007</v>
      </c>
      <c r="E17" s="4" t="str">
        <f t="shared" ref="E17:E23" si="20">"银河水星1号集合"</f>
        <v>银河水星1号集合</v>
      </c>
      <c r="F17" s="4">
        <v>0</v>
      </c>
      <c r="G17" s="4">
        <v>0</v>
      </c>
      <c r="H17" s="4">
        <v>0</v>
      </c>
      <c r="I17" s="4">
        <v>0.04</v>
      </c>
      <c r="J17" s="4">
        <v>5</v>
      </c>
      <c r="K17" s="4">
        <v>0</v>
      </c>
      <c r="L17" s="4" t="str">
        <f t="shared" si="2"/>
        <v>人民币</v>
      </c>
      <c r="N17" s="4" t="str">
        <f t="shared" ref="N17:N23" si="21">"980149593788"</f>
        <v>980149593788</v>
      </c>
      <c r="O17" s="4" t="str">
        <f t="shared" si="4"/>
        <v>300100052893</v>
      </c>
    </row>
    <row r="18" spans="1:15">
      <c r="A18" s="4" t="str">
        <f>"20210714"</f>
        <v>20210714</v>
      </c>
      <c r="B18" s="4" t="str">
        <f>"20210714"</f>
        <v>20210714</v>
      </c>
      <c r="C18" s="4" t="str">
        <f>"红利入账"</f>
        <v>红利入账</v>
      </c>
      <c r="D18" s="4" t="str">
        <f>"300355"</f>
        <v>300355</v>
      </c>
      <c r="E18" s="4" t="str">
        <f>"蒙草生态"</f>
        <v>蒙草生态</v>
      </c>
      <c r="F18" s="4">
        <v>0</v>
      </c>
      <c r="G18" s="4">
        <v>0</v>
      </c>
      <c r="H18" s="4">
        <v>66</v>
      </c>
      <c r="I18" s="4">
        <v>66</v>
      </c>
      <c r="J18" s="4">
        <v>71</v>
      </c>
      <c r="K18" s="4">
        <v>0</v>
      </c>
      <c r="L18" s="4" t="str">
        <f t="shared" si="2"/>
        <v>人民币</v>
      </c>
      <c r="N18" s="4" t="str">
        <f>"0149593788"</f>
        <v>0149593788</v>
      </c>
      <c r="O18" s="4" t="str">
        <f t="shared" si="4"/>
        <v>300100052893</v>
      </c>
    </row>
    <row r="19" spans="1:15">
      <c r="A19" s="4" t="str">
        <f>"20210720"</f>
        <v>20210720</v>
      </c>
      <c r="B19" s="4" t="str">
        <f>"20210720"</f>
        <v>20210720</v>
      </c>
      <c r="C19" s="4" t="str">
        <f t="shared" ref="C19:C22" si="22">"基金赎回拨入"</f>
        <v>基金赎回拨入</v>
      </c>
      <c r="D19" s="4" t="str">
        <f t="shared" si="19"/>
        <v>AA0007</v>
      </c>
      <c r="E19" s="4" t="str">
        <f t="shared" si="20"/>
        <v>银河水星1号集合</v>
      </c>
      <c r="F19" s="4">
        <v>0</v>
      </c>
      <c r="G19" s="4">
        <v>11999</v>
      </c>
      <c r="H19" s="4">
        <v>0</v>
      </c>
      <c r="I19" s="4">
        <v>11999.54</v>
      </c>
      <c r="J19" s="4">
        <v>12070.24</v>
      </c>
      <c r="K19" s="4">
        <v>0</v>
      </c>
      <c r="L19" s="4" t="str">
        <f t="shared" si="2"/>
        <v>人民币</v>
      </c>
      <c r="N19" s="4" t="str">
        <f t="shared" si="21"/>
        <v>980149593788</v>
      </c>
      <c r="O19" s="4" t="str">
        <f t="shared" si="4"/>
        <v>300100052893</v>
      </c>
    </row>
    <row r="20" spans="1:15">
      <c r="A20" s="4" t="str">
        <f>"20210721"</f>
        <v>20210721</v>
      </c>
      <c r="B20" s="4" t="str">
        <f>"20210721"</f>
        <v>20210721</v>
      </c>
      <c r="C20" s="4" t="str">
        <f t="shared" si="22"/>
        <v>基金赎回拨入</v>
      </c>
      <c r="D20" s="4" t="str">
        <f t="shared" si="19"/>
        <v>AA0007</v>
      </c>
      <c r="E20" s="4" t="str">
        <f t="shared" si="20"/>
        <v>银河水星1号集合</v>
      </c>
      <c r="F20" s="4">
        <v>0</v>
      </c>
      <c r="G20" s="4">
        <v>0</v>
      </c>
      <c r="H20" s="4">
        <v>0</v>
      </c>
      <c r="I20" s="4">
        <v>0.04</v>
      </c>
      <c r="J20" s="4">
        <v>12070.24</v>
      </c>
      <c r="K20" s="4">
        <v>0</v>
      </c>
      <c r="L20" s="4" t="str">
        <f t="shared" si="2"/>
        <v>人民币</v>
      </c>
      <c r="N20" s="4" t="str">
        <f t="shared" si="21"/>
        <v>980149593788</v>
      </c>
      <c r="O20" s="4" t="str">
        <f t="shared" si="4"/>
        <v>300100052893</v>
      </c>
    </row>
    <row r="21" spans="1:15">
      <c r="A21" s="4" t="str">
        <f>"20210722"</f>
        <v>20210722</v>
      </c>
      <c r="B21" s="4" t="str">
        <f>"20210722"</f>
        <v>20210722</v>
      </c>
      <c r="C21" s="4" t="str">
        <f t="shared" si="22"/>
        <v>基金赎回拨入</v>
      </c>
      <c r="D21" s="4" t="str">
        <f t="shared" si="19"/>
        <v>AA0007</v>
      </c>
      <c r="E21" s="4" t="str">
        <f t="shared" si="20"/>
        <v>银河水星1号集合</v>
      </c>
      <c r="F21" s="4">
        <v>0</v>
      </c>
      <c r="G21" s="4">
        <v>0</v>
      </c>
      <c r="H21" s="4">
        <v>0</v>
      </c>
      <c r="I21" s="4">
        <v>0.04</v>
      </c>
      <c r="J21" s="4">
        <v>12070.24</v>
      </c>
      <c r="K21" s="4">
        <v>0</v>
      </c>
      <c r="L21" s="4" t="str">
        <f t="shared" si="2"/>
        <v>人民币</v>
      </c>
      <c r="N21" s="4" t="str">
        <f t="shared" si="21"/>
        <v>980149593788</v>
      </c>
      <c r="O21" s="4" t="str">
        <f t="shared" si="4"/>
        <v>300100052893</v>
      </c>
    </row>
    <row r="22" spans="1:15">
      <c r="A22" s="4" t="str">
        <f>"20210723"</f>
        <v>20210723</v>
      </c>
      <c r="B22" s="4" t="str">
        <f>"20210723"</f>
        <v>20210723</v>
      </c>
      <c r="C22" s="4" t="str">
        <f t="shared" si="22"/>
        <v>基金赎回拨入</v>
      </c>
      <c r="D22" s="4" t="str">
        <f t="shared" si="19"/>
        <v>AA0007</v>
      </c>
      <c r="E22" s="4" t="str">
        <f t="shared" si="20"/>
        <v>银河水星1号集合</v>
      </c>
      <c r="F22" s="4">
        <v>0</v>
      </c>
      <c r="G22" s="4">
        <v>18105</v>
      </c>
      <c r="H22" s="4">
        <v>0</v>
      </c>
      <c r="I22" s="4">
        <v>18105.04</v>
      </c>
      <c r="J22" s="4">
        <v>30175.24</v>
      </c>
      <c r="K22" s="4">
        <v>0</v>
      </c>
      <c r="L22" s="4" t="str">
        <f t="shared" si="2"/>
        <v>人民币</v>
      </c>
      <c r="N22" s="4" t="str">
        <f t="shared" si="21"/>
        <v>980149593788</v>
      </c>
      <c r="O22" s="4" t="str">
        <f t="shared" si="4"/>
        <v>300100052893</v>
      </c>
    </row>
    <row r="23" spans="1:15">
      <c r="A23" s="4" t="str">
        <f>"20210726"</f>
        <v>20210726</v>
      </c>
      <c r="B23" s="4" t="str">
        <f>"20210726"</f>
        <v>20210726</v>
      </c>
      <c r="C23" s="4" t="str">
        <f>"基金申购拨出"</f>
        <v>基金申购拨出</v>
      </c>
      <c r="D23" s="4" t="str">
        <f t="shared" si="19"/>
        <v>AA0007</v>
      </c>
      <c r="E23" s="4" t="str">
        <f t="shared" si="20"/>
        <v>银河水星1号集合</v>
      </c>
      <c r="F23" s="4">
        <v>0</v>
      </c>
      <c r="G23" s="4">
        <v>0</v>
      </c>
      <c r="H23" s="4">
        <v>0</v>
      </c>
      <c r="I23" s="4">
        <v>-6159.72</v>
      </c>
      <c r="J23" s="4">
        <v>24015.48</v>
      </c>
      <c r="K23" s="4">
        <v>0</v>
      </c>
      <c r="L23" s="4" t="str">
        <f t="shared" si="2"/>
        <v>人民币</v>
      </c>
      <c r="N23" s="4" t="str">
        <f t="shared" si="21"/>
        <v>980149593788</v>
      </c>
      <c r="O23" s="4" t="str">
        <f t="shared" si="4"/>
        <v>300100052893</v>
      </c>
    </row>
    <row r="24" spans="1:15">
      <c r="A24" s="4" t="str">
        <f>"20210726"</f>
        <v>20210726</v>
      </c>
      <c r="B24" s="4" t="str">
        <f>"20210726"</f>
        <v>20210726</v>
      </c>
      <c r="C24" s="4" t="str">
        <f t="shared" ref="C24:C28" si="23">"证券买入"</f>
        <v>证券买入</v>
      </c>
      <c r="D24" s="4" t="str">
        <f t="shared" ref="D24:D26" si="24">"600028"</f>
        <v>600028</v>
      </c>
      <c r="E24" s="4" t="str">
        <f t="shared" ref="E24:E26" si="25">"中国石化"</f>
        <v>中国石化</v>
      </c>
      <c r="F24" s="4">
        <v>4.02</v>
      </c>
      <c r="G24" s="4">
        <v>3000</v>
      </c>
      <c r="H24" s="4">
        <v>12060</v>
      </c>
      <c r="I24" s="4">
        <v>-12065.24</v>
      </c>
      <c r="J24" s="4">
        <v>11950.24</v>
      </c>
      <c r="K24" s="4">
        <v>3000</v>
      </c>
      <c r="L24" s="4" t="str">
        <f t="shared" si="2"/>
        <v>人民币</v>
      </c>
      <c r="M24" s="4" t="str">
        <f>"0136000211"</f>
        <v>0136000211</v>
      </c>
      <c r="N24" s="4" t="str">
        <f t="shared" ref="N24:N26" si="26">"A368402599"</f>
        <v>A368402599</v>
      </c>
      <c r="O24" s="4" t="str">
        <f t="shared" si="4"/>
        <v>300100052893</v>
      </c>
    </row>
    <row r="25" spans="1:15">
      <c r="A25" s="4" t="str">
        <f>"20210727"</f>
        <v>20210727</v>
      </c>
      <c r="B25" s="4" t="str">
        <f>"20210727"</f>
        <v>20210727</v>
      </c>
      <c r="C25" s="4" t="str">
        <f>"证券卖出"</f>
        <v>证券卖出</v>
      </c>
      <c r="D25" s="4" t="str">
        <f t="shared" si="24"/>
        <v>600028</v>
      </c>
      <c r="E25" s="4" t="str">
        <f t="shared" si="25"/>
        <v>中国石化</v>
      </c>
      <c r="F25" s="4">
        <v>4.06</v>
      </c>
      <c r="G25" s="4">
        <v>3000</v>
      </c>
      <c r="H25" s="4">
        <v>12180</v>
      </c>
      <c r="I25" s="4">
        <v>12162.58</v>
      </c>
      <c r="J25" s="4">
        <v>24112.69</v>
      </c>
      <c r="K25" s="4">
        <v>0</v>
      </c>
      <c r="L25" s="4" t="str">
        <f t="shared" si="2"/>
        <v>人民币</v>
      </c>
      <c r="M25" s="4" t="str">
        <f>"0136000145"</f>
        <v>0136000145</v>
      </c>
      <c r="N25" s="4" t="str">
        <f t="shared" si="26"/>
        <v>A368402599</v>
      </c>
      <c r="O25" s="4" t="str">
        <f t="shared" si="4"/>
        <v>300100052893</v>
      </c>
    </row>
    <row r="26" spans="1:15">
      <c r="A26" s="4" t="str">
        <f>"20210727"</f>
        <v>20210727</v>
      </c>
      <c r="B26" s="4" t="str">
        <f>"20210727"</f>
        <v>20210727</v>
      </c>
      <c r="C26" s="4" t="str">
        <f t="shared" si="23"/>
        <v>证券买入</v>
      </c>
      <c r="D26" s="4" t="str">
        <f t="shared" si="24"/>
        <v>600028</v>
      </c>
      <c r="E26" s="4" t="str">
        <f t="shared" si="25"/>
        <v>中国石化</v>
      </c>
      <c r="F26" s="4">
        <v>4.02</v>
      </c>
      <c r="G26" s="4">
        <v>3000</v>
      </c>
      <c r="H26" s="4">
        <v>12060</v>
      </c>
      <c r="I26" s="4">
        <v>-12065.24</v>
      </c>
      <c r="J26" s="4">
        <v>12047.45</v>
      </c>
      <c r="K26" s="4">
        <v>3000</v>
      </c>
      <c r="L26" s="4" t="str">
        <f t="shared" si="2"/>
        <v>人民币</v>
      </c>
      <c r="M26" s="4" t="str">
        <f>"0136002192"</f>
        <v>0136002192</v>
      </c>
      <c r="N26" s="4" t="str">
        <f t="shared" si="26"/>
        <v>A368402599</v>
      </c>
      <c r="O26" s="4" t="str">
        <f t="shared" si="4"/>
        <v>300100052893</v>
      </c>
    </row>
    <row r="27" spans="1:15">
      <c r="A27" s="4" t="str">
        <f>"20210728"</f>
        <v>20210728</v>
      </c>
      <c r="B27" s="4" t="str">
        <f>"20210728"</f>
        <v>20210728</v>
      </c>
      <c r="C27" s="4" t="str">
        <f t="shared" ref="C27:C31" si="27">"基金赎回拨入"</f>
        <v>基金赎回拨入</v>
      </c>
      <c r="D27" s="4" t="str">
        <f t="shared" ref="D27:D31" si="28">"AA0007"</f>
        <v>AA0007</v>
      </c>
      <c r="E27" s="4" t="str">
        <f t="shared" ref="E27:E31" si="29">"银河水星1号集合"</f>
        <v>银河水星1号集合</v>
      </c>
      <c r="F27" s="4">
        <v>0</v>
      </c>
      <c r="G27" s="4">
        <v>11728</v>
      </c>
      <c r="H27" s="4">
        <v>0</v>
      </c>
      <c r="I27" s="4">
        <v>11728.07</v>
      </c>
      <c r="J27" s="4">
        <v>23775.48</v>
      </c>
      <c r="K27" s="4">
        <v>0</v>
      </c>
      <c r="L27" s="4" t="str">
        <f t="shared" si="2"/>
        <v>人民币</v>
      </c>
      <c r="N27" s="4" t="str">
        <f t="shared" ref="N27:N31" si="30">"980149593788"</f>
        <v>980149593788</v>
      </c>
      <c r="O27" s="4" t="str">
        <f t="shared" si="4"/>
        <v>300100052893</v>
      </c>
    </row>
    <row r="28" spans="1:15">
      <c r="A28" s="4" t="str">
        <f>"20210728"</f>
        <v>20210728</v>
      </c>
      <c r="B28" s="4" t="str">
        <f>"20210728"</f>
        <v>20210728</v>
      </c>
      <c r="C28" s="4" t="str">
        <f t="shared" si="23"/>
        <v>证券买入</v>
      </c>
      <c r="D28" s="4" t="str">
        <f>"600028"</f>
        <v>600028</v>
      </c>
      <c r="E28" s="4" t="str">
        <f>"中国石化"</f>
        <v>中国石化</v>
      </c>
      <c r="F28" s="4">
        <v>3.98</v>
      </c>
      <c r="G28" s="4">
        <v>3000</v>
      </c>
      <c r="H28" s="4">
        <v>11940</v>
      </c>
      <c r="I28" s="4">
        <v>-11945.24</v>
      </c>
      <c r="J28" s="4">
        <v>11830.24</v>
      </c>
      <c r="K28" s="4">
        <v>6000</v>
      </c>
      <c r="L28" s="4" t="str">
        <f t="shared" si="2"/>
        <v>人民币</v>
      </c>
      <c r="M28" s="4" t="str">
        <f>"0136000134"</f>
        <v>0136000134</v>
      </c>
      <c r="N28" s="4" t="str">
        <f>"A368402599"</f>
        <v>A368402599</v>
      </c>
      <c r="O28" s="4" t="str">
        <f t="shared" si="4"/>
        <v>300100052893</v>
      </c>
    </row>
    <row r="29" spans="1:15">
      <c r="A29" s="4" t="str">
        <f>"20210729"</f>
        <v>20210729</v>
      </c>
      <c r="B29" s="4" t="str">
        <f>"20210729"</f>
        <v>20210729</v>
      </c>
      <c r="C29" s="4" t="str">
        <f t="shared" si="27"/>
        <v>基金赎回拨入</v>
      </c>
      <c r="D29" s="4" t="str">
        <f t="shared" si="28"/>
        <v>AA0007</v>
      </c>
      <c r="E29" s="4" t="str">
        <f t="shared" si="29"/>
        <v>银河水星1号集合</v>
      </c>
      <c r="F29" s="4">
        <v>0</v>
      </c>
      <c r="G29" s="4">
        <v>0</v>
      </c>
      <c r="H29" s="4">
        <v>0</v>
      </c>
      <c r="I29" s="4">
        <v>0.04</v>
      </c>
      <c r="J29" s="4">
        <v>11830.24</v>
      </c>
      <c r="K29" s="4">
        <v>0</v>
      </c>
      <c r="L29" s="4" t="str">
        <f t="shared" si="2"/>
        <v>人民币</v>
      </c>
      <c r="N29" s="4" t="str">
        <f t="shared" si="30"/>
        <v>980149593788</v>
      </c>
      <c r="O29" s="4" t="str">
        <f t="shared" si="4"/>
        <v>300100052893</v>
      </c>
    </row>
    <row r="30" spans="1:15">
      <c r="A30" s="4" t="str">
        <f t="shared" ref="A30:A32" si="31">"20210730"</f>
        <v>20210730</v>
      </c>
      <c r="B30" s="4" t="str">
        <f t="shared" ref="B30:B32" si="32">"20210730"</f>
        <v>20210730</v>
      </c>
      <c r="C30" s="4" t="str">
        <f>"银行转证券"</f>
        <v>银行转证券</v>
      </c>
      <c r="F30" s="4">
        <v>0</v>
      </c>
      <c r="G30" s="4">
        <v>0</v>
      </c>
      <c r="H30" s="4">
        <v>0</v>
      </c>
      <c r="I30" s="4">
        <v>12000</v>
      </c>
      <c r="J30" s="4">
        <v>23830.2</v>
      </c>
      <c r="K30" s="4">
        <v>0</v>
      </c>
      <c r="L30" s="4" t="str">
        <f t="shared" si="2"/>
        <v>人民币</v>
      </c>
      <c r="O30" s="4" t="str">
        <f t="shared" si="4"/>
        <v>300100052893</v>
      </c>
    </row>
    <row r="31" spans="1:15">
      <c r="A31" s="4" t="str">
        <f t="shared" si="31"/>
        <v>20210730</v>
      </c>
      <c r="B31" s="4" t="str">
        <f t="shared" si="32"/>
        <v>20210730</v>
      </c>
      <c r="C31" s="4" t="str">
        <f t="shared" si="27"/>
        <v>基金赎回拨入</v>
      </c>
      <c r="D31" s="4" t="str">
        <f t="shared" si="28"/>
        <v>AA0007</v>
      </c>
      <c r="E31" s="4" t="str">
        <f t="shared" si="29"/>
        <v>银河水星1号集合</v>
      </c>
      <c r="F31" s="4">
        <v>0</v>
      </c>
      <c r="G31" s="4">
        <v>7905</v>
      </c>
      <c r="H31" s="4">
        <v>0</v>
      </c>
      <c r="I31" s="4">
        <v>7905.44</v>
      </c>
      <c r="J31" s="4">
        <v>31735.64</v>
      </c>
      <c r="K31" s="4">
        <v>0</v>
      </c>
      <c r="L31" s="4" t="str">
        <f t="shared" si="2"/>
        <v>人民币</v>
      </c>
      <c r="N31" s="4" t="str">
        <f t="shared" si="30"/>
        <v>980149593788</v>
      </c>
      <c r="O31" s="4" t="str">
        <f t="shared" si="4"/>
        <v>300100052893</v>
      </c>
    </row>
    <row r="32" spans="1:15">
      <c r="A32" s="4" t="str">
        <f t="shared" si="31"/>
        <v>20210730</v>
      </c>
      <c r="B32" s="4" t="str">
        <f t="shared" si="32"/>
        <v>20210730</v>
      </c>
      <c r="C32" s="4" t="str">
        <f>"证券买入"</f>
        <v>证券买入</v>
      </c>
      <c r="D32" s="4" t="str">
        <f t="shared" ref="D32:D37" si="33">"600028"</f>
        <v>600028</v>
      </c>
      <c r="E32" s="4" t="str">
        <f t="shared" ref="E32:E37" si="34">"中国石化"</f>
        <v>中国石化</v>
      </c>
      <c r="F32" s="4">
        <v>3.98</v>
      </c>
      <c r="G32" s="4">
        <v>5000</v>
      </c>
      <c r="H32" s="4">
        <v>19900</v>
      </c>
      <c r="I32" s="4">
        <v>-19905.4</v>
      </c>
      <c r="J32" s="4">
        <v>11830.24</v>
      </c>
      <c r="K32" s="4">
        <v>11000</v>
      </c>
      <c r="L32" s="4" t="str">
        <f t="shared" si="2"/>
        <v>人民币</v>
      </c>
      <c r="M32" s="4" t="str">
        <f>"0136010613"</f>
        <v>0136010613</v>
      </c>
      <c r="N32" s="4" t="str">
        <f t="shared" ref="N32:N37" si="35">"A368402599"</f>
        <v>A368402599</v>
      </c>
      <c r="O32" s="4" t="str">
        <f t="shared" si="4"/>
        <v>300100052893</v>
      </c>
    </row>
    <row r="33" spans="1:15">
      <c r="A33" s="4" t="str">
        <f>"20210802"</f>
        <v>20210802</v>
      </c>
      <c r="B33" s="4" t="str">
        <f>"20210802"</f>
        <v>20210802</v>
      </c>
      <c r="C33" s="4" t="str">
        <f>"基金申购拨出"</f>
        <v>基金申购拨出</v>
      </c>
      <c r="D33" s="4" t="str">
        <f t="shared" ref="D33:D35" si="36">"AA0007"</f>
        <v>AA0007</v>
      </c>
      <c r="E33" s="4" t="str">
        <f t="shared" ref="E33:E35" si="37">"银河水星1号集合"</f>
        <v>银河水星1号集合</v>
      </c>
      <c r="F33" s="4">
        <v>0</v>
      </c>
      <c r="G33" s="4">
        <v>0</v>
      </c>
      <c r="H33" s="4">
        <v>0</v>
      </c>
      <c r="I33" s="4">
        <v>-11825.2</v>
      </c>
      <c r="J33" s="4">
        <v>5</v>
      </c>
      <c r="K33" s="4">
        <v>0</v>
      </c>
      <c r="L33" s="4" t="str">
        <f t="shared" si="2"/>
        <v>人民币</v>
      </c>
      <c r="N33" s="4" t="str">
        <f t="shared" ref="N33:N35" si="38">"980149593788"</f>
        <v>980149593788</v>
      </c>
      <c r="O33" s="4" t="str">
        <f t="shared" si="4"/>
        <v>300100052893</v>
      </c>
    </row>
    <row r="34" spans="1:15">
      <c r="A34" s="4" t="str">
        <f>"20210803"</f>
        <v>20210803</v>
      </c>
      <c r="B34" s="4" t="str">
        <f>"20210803"</f>
        <v>20210803</v>
      </c>
      <c r="C34" s="4" t="str">
        <f>"基金赎回拨入"</f>
        <v>基金赎回拨入</v>
      </c>
      <c r="D34" s="4" t="str">
        <f t="shared" si="36"/>
        <v>AA0007</v>
      </c>
      <c r="E34" s="4" t="str">
        <f t="shared" si="37"/>
        <v>银河水星1号集合</v>
      </c>
      <c r="F34" s="4">
        <v>0</v>
      </c>
      <c r="G34" s="4">
        <v>0</v>
      </c>
      <c r="H34" s="4">
        <v>0</v>
      </c>
      <c r="I34" s="4">
        <v>0.12</v>
      </c>
      <c r="J34" s="4">
        <v>5</v>
      </c>
      <c r="K34" s="4">
        <v>0</v>
      </c>
      <c r="L34" s="4" t="str">
        <f t="shared" si="2"/>
        <v>人民币</v>
      </c>
      <c r="N34" s="4" t="str">
        <f t="shared" si="38"/>
        <v>980149593788</v>
      </c>
      <c r="O34" s="4" t="str">
        <f t="shared" si="4"/>
        <v>300100052893</v>
      </c>
    </row>
    <row r="35" spans="1:15">
      <c r="A35" s="4" t="str">
        <f>"20210804"</f>
        <v>20210804</v>
      </c>
      <c r="B35" s="4" t="str">
        <f>"20210804"</f>
        <v>20210804</v>
      </c>
      <c r="C35" s="4" t="str">
        <f>"基金赎回拨入"</f>
        <v>基金赎回拨入</v>
      </c>
      <c r="D35" s="4" t="str">
        <f t="shared" si="36"/>
        <v>AA0007</v>
      </c>
      <c r="E35" s="4" t="str">
        <f t="shared" si="37"/>
        <v>银河水星1号集合</v>
      </c>
      <c r="F35" s="4">
        <v>0</v>
      </c>
      <c r="G35" s="4">
        <v>0</v>
      </c>
      <c r="H35" s="4">
        <v>0</v>
      </c>
      <c r="I35" s="4">
        <v>0.04</v>
      </c>
      <c r="J35" s="4">
        <v>5</v>
      </c>
      <c r="K35" s="4">
        <v>0</v>
      </c>
      <c r="L35" s="4" t="str">
        <f t="shared" si="2"/>
        <v>人民币</v>
      </c>
      <c r="N35" s="4" t="str">
        <f t="shared" si="38"/>
        <v>980149593788</v>
      </c>
      <c r="O35" s="4" t="str">
        <f t="shared" si="4"/>
        <v>300100052893</v>
      </c>
    </row>
    <row r="36" spans="1:15">
      <c r="A36" s="4" t="str">
        <f>"20210805"</f>
        <v>20210805</v>
      </c>
      <c r="B36" s="4" t="str">
        <f>"20210805"</f>
        <v>20210805</v>
      </c>
      <c r="C36" s="4" t="str">
        <f>"证券卖出"</f>
        <v>证券卖出</v>
      </c>
      <c r="D36" s="4" t="str">
        <f t="shared" si="33"/>
        <v>600028</v>
      </c>
      <c r="E36" s="4" t="str">
        <f t="shared" si="34"/>
        <v>中国石化</v>
      </c>
      <c r="F36" s="4">
        <v>4.02</v>
      </c>
      <c r="G36" s="4">
        <v>3000</v>
      </c>
      <c r="H36" s="4">
        <v>12060</v>
      </c>
      <c r="I36" s="4">
        <v>12042.7</v>
      </c>
      <c r="J36" s="4">
        <v>12047.66</v>
      </c>
      <c r="K36" s="4">
        <v>8000</v>
      </c>
      <c r="L36" s="4" t="str">
        <f t="shared" si="2"/>
        <v>人民币</v>
      </c>
      <c r="M36" s="4" t="str">
        <f>"0136000184"</f>
        <v>0136000184</v>
      </c>
      <c r="N36" s="4" t="str">
        <f t="shared" si="35"/>
        <v>A368402599</v>
      </c>
      <c r="O36" s="4" t="str">
        <f t="shared" si="4"/>
        <v>300100052893</v>
      </c>
    </row>
    <row r="37" spans="1:15">
      <c r="A37" s="4" t="str">
        <f>"20210805"</f>
        <v>20210805</v>
      </c>
      <c r="B37" s="4" t="str">
        <f>"20210805"</f>
        <v>20210805</v>
      </c>
      <c r="C37" s="4" t="str">
        <f>"证券买入"</f>
        <v>证券买入</v>
      </c>
      <c r="D37" s="4" t="str">
        <f t="shared" si="33"/>
        <v>600028</v>
      </c>
      <c r="E37" s="4" t="str">
        <f t="shared" si="34"/>
        <v>中国石化</v>
      </c>
      <c r="F37" s="4">
        <v>3.98</v>
      </c>
      <c r="G37" s="4">
        <v>3000</v>
      </c>
      <c r="H37" s="4">
        <v>11940</v>
      </c>
      <c r="I37" s="4">
        <v>-11945.24</v>
      </c>
      <c r="J37" s="4">
        <v>102.42</v>
      </c>
      <c r="K37" s="4">
        <v>11000</v>
      </c>
      <c r="L37" s="4" t="str">
        <f t="shared" si="2"/>
        <v>人民币</v>
      </c>
      <c r="M37" s="4" t="str">
        <f>"0136003492"</f>
        <v>0136003492</v>
      </c>
      <c r="N37" s="4" t="str">
        <f t="shared" si="35"/>
        <v>A368402599</v>
      </c>
      <c r="O37" s="4" t="str">
        <f t="shared" si="4"/>
        <v>300100052893</v>
      </c>
    </row>
    <row r="38" spans="1:15">
      <c r="A38" s="4" t="str">
        <f>"20210806"</f>
        <v>20210806</v>
      </c>
      <c r="B38" s="4" t="str">
        <f>"20210806"</f>
        <v>20210806</v>
      </c>
      <c r="C38" s="4" t="str">
        <f>"基金申购拨出"</f>
        <v>基金申购拨出</v>
      </c>
      <c r="D38" s="4" t="str">
        <f t="shared" ref="D38:D43" si="39">"AA0007"</f>
        <v>AA0007</v>
      </c>
      <c r="E38" s="4" t="str">
        <f t="shared" ref="E38:E43" si="40">"银河水星1号集合"</f>
        <v>银河水星1号集合</v>
      </c>
      <c r="F38" s="4">
        <v>0</v>
      </c>
      <c r="G38" s="4">
        <v>0</v>
      </c>
      <c r="H38" s="4">
        <v>0</v>
      </c>
      <c r="I38" s="4">
        <v>-12110.35</v>
      </c>
      <c r="J38" s="4">
        <v>-12007.97</v>
      </c>
      <c r="K38" s="4">
        <v>0</v>
      </c>
      <c r="L38" s="4" t="str">
        <f t="shared" si="2"/>
        <v>人民币</v>
      </c>
      <c r="N38" s="4" t="str">
        <f t="shared" ref="N38:N43" si="41">"980149593788"</f>
        <v>980149593788</v>
      </c>
      <c r="O38" s="4" t="str">
        <f t="shared" si="4"/>
        <v>300100052893</v>
      </c>
    </row>
    <row r="39" spans="1:15">
      <c r="A39" s="4" t="str">
        <f>"20210806"</f>
        <v>20210806</v>
      </c>
      <c r="B39" s="4" t="str">
        <f>"20210806"</f>
        <v>20210806</v>
      </c>
      <c r="C39" s="4" t="str">
        <f>"证券卖出"</f>
        <v>证券卖出</v>
      </c>
      <c r="D39" s="4" t="str">
        <f>"300355"</f>
        <v>300355</v>
      </c>
      <c r="E39" s="4" t="str">
        <f>"蒙草生态"</f>
        <v>蒙草生态</v>
      </c>
      <c r="F39" s="4">
        <v>4.01</v>
      </c>
      <c r="G39" s="4">
        <v>3000</v>
      </c>
      <c r="H39" s="4">
        <v>12030</v>
      </c>
      <c r="I39" s="4">
        <v>12012.97</v>
      </c>
      <c r="J39" s="4">
        <v>5</v>
      </c>
      <c r="K39" s="4">
        <v>0</v>
      </c>
      <c r="L39" s="4" t="str">
        <f t="shared" si="2"/>
        <v>人民币</v>
      </c>
      <c r="M39" s="4" t="str">
        <f>"T4015224"</f>
        <v>T4015224</v>
      </c>
      <c r="N39" s="4" t="str">
        <f>"0149593788"</f>
        <v>0149593788</v>
      </c>
      <c r="O39" s="4" t="str">
        <f t="shared" si="4"/>
        <v>300100052893</v>
      </c>
    </row>
    <row r="40" spans="1:15">
      <c r="A40" s="4" t="str">
        <f>"20210809"</f>
        <v>20210809</v>
      </c>
      <c r="B40" s="4" t="str">
        <f>"20210809"</f>
        <v>20210809</v>
      </c>
      <c r="C40" s="4" t="str">
        <f>"基金赎回拨入"</f>
        <v>基金赎回拨入</v>
      </c>
      <c r="D40" s="4" t="str">
        <f t="shared" si="39"/>
        <v>AA0007</v>
      </c>
      <c r="E40" s="4" t="str">
        <f t="shared" si="40"/>
        <v>银河水星1号集合</v>
      </c>
      <c r="F40" s="4">
        <v>0</v>
      </c>
      <c r="G40" s="4">
        <v>11778</v>
      </c>
      <c r="H40" s="4">
        <v>0</v>
      </c>
      <c r="I40" s="4">
        <v>11778.48</v>
      </c>
      <c r="J40" s="4">
        <v>11783.44</v>
      </c>
      <c r="K40" s="4">
        <v>0</v>
      </c>
      <c r="L40" s="4" t="str">
        <f t="shared" si="2"/>
        <v>人民币</v>
      </c>
      <c r="N40" s="4" t="str">
        <f t="shared" si="41"/>
        <v>980149593788</v>
      </c>
      <c r="O40" s="4" t="str">
        <f t="shared" si="4"/>
        <v>300100052893</v>
      </c>
    </row>
    <row r="41" spans="1:15">
      <c r="A41" s="4" t="str">
        <f>"20210810"</f>
        <v>20210810</v>
      </c>
      <c r="B41" s="4" t="str">
        <f>"0"</f>
        <v>0</v>
      </c>
      <c r="C41" s="4" t="str">
        <f>"股息红利差异扣税"</f>
        <v>股息红利差异扣税</v>
      </c>
      <c r="D41" s="4" t="str">
        <f>"300355"</f>
        <v>300355</v>
      </c>
      <c r="E41" s="4" t="str">
        <f>"蒙草生态"</f>
        <v>蒙草生态</v>
      </c>
      <c r="F41" s="4">
        <v>0</v>
      </c>
      <c r="G41" s="4">
        <v>0</v>
      </c>
      <c r="H41" s="4">
        <v>0</v>
      </c>
      <c r="I41" s="4">
        <v>-13.2</v>
      </c>
      <c r="J41" s="4">
        <v>11770.12</v>
      </c>
      <c r="K41" s="4">
        <v>0</v>
      </c>
      <c r="L41" s="4" t="str">
        <f t="shared" si="2"/>
        <v>人民币</v>
      </c>
      <c r="N41" s="4" t="str">
        <f>"0149593788"</f>
        <v>0149593788</v>
      </c>
      <c r="O41" s="4" t="str">
        <f t="shared" si="4"/>
        <v>300100052893</v>
      </c>
    </row>
    <row r="42" spans="1:15">
      <c r="A42" s="4" t="str">
        <f>"20210810"</f>
        <v>20210810</v>
      </c>
      <c r="B42" s="4" t="str">
        <f>"20210810"</f>
        <v>20210810</v>
      </c>
      <c r="C42" s="4" t="str">
        <f>"基金赎回拨入"</f>
        <v>基金赎回拨入</v>
      </c>
      <c r="D42" s="4" t="str">
        <f t="shared" si="39"/>
        <v>AA0007</v>
      </c>
      <c r="E42" s="4" t="str">
        <f t="shared" si="40"/>
        <v>银河水星1号集合</v>
      </c>
      <c r="F42" s="4">
        <v>0</v>
      </c>
      <c r="G42" s="4">
        <v>60</v>
      </c>
      <c r="H42" s="4">
        <v>0</v>
      </c>
      <c r="I42" s="4">
        <v>60.12</v>
      </c>
      <c r="J42" s="4">
        <v>11830.24</v>
      </c>
      <c r="K42" s="4">
        <v>0</v>
      </c>
      <c r="L42" s="4" t="str">
        <f t="shared" si="2"/>
        <v>人民币</v>
      </c>
      <c r="N42" s="4" t="str">
        <f t="shared" si="41"/>
        <v>980149593788</v>
      </c>
      <c r="O42" s="4" t="str">
        <f t="shared" si="4"/>
        <v>300100052893</v>
      </c>
    </row>
    <row r="43" spans="1:15">
      <c r="A43" s="4" t="str">
        <f>"20210811"</f>
        <v>20210811</v>
      </c>
      <c r="B43" s="4" t="str">
        <f>"20210811"</f>
        <v>20210811</v>
      </c>
      <c r="C43" s="4" t="str">
        <f>"基金申购拨出"</f>
        <v>基金申购拨出</v>
      </c>
      <c r="D43" s="4" t="str">
        <f t="shared" si="39"/>
        <v>AA0007</v>
      </c>
      <c r="E43" s="4" t="str">
        <f t="shared" si="40"/>
        <v>银河水星1号集合</v>
      </c>
      <c r="F43" s="4">
        <v>0</v>
      </c>
      <c r="G43" s="4">
        <v>0</v>
      </c>
      <c r="H43" s="4">
        <v>0</v>
      </c>
      <c r="I43" s="4">
        <v>-11922.66</v>
      </c>
      <c r="J43" s="4">
        <v>-92.46</v>
      </c>
      <c r="K43" s="4">
        <v>0</v>
      </c>
      <c r="L43" s="4" t="str">
        <f t="shared" si="2"/>
        <v>人民币</v>
      </c>
      <c r="N43" s="4" t="str">
        <f t="shared" si="41"/>
        <v>980149593788</v>
      </c>
      <c r="O43" s="4" t="str">
        <f t="shared" si="4"/>
        <v>300100052893</v>
      </c>
    </row>
    <row r="44" spans="1:15">
      <c r="A44" s="4" t="str">
        <f>"20210811"</f>
        <v>20210811</v>
      </c>
      <c r="B44" s="4" t="str">
        <f>"20210811"</f>
        <v>20210811</v>
      </c>
      <c r="C44" s="4" t="str">
        <f>"证券卖出"</f>
        <v>证券卖出</v>
      </c>
      <c r="D44" s="4" t="str">
        <f t="shared" ref="D44:D48" si="42">"600028"</f>
        <v>600028</v>
      </c>
      <c r="E44" s="4" t="str">
        <f t="shared" ref="E44:E48" si="43">"中国石化"</f>
        <v>中国石化</v>
      </c>
      <c r="F44" s="4">
        <v>4.02</v>
      </c>
      <c r="G44" s="4">
        <v>3000</v>
      </c>
      <c r="H44" s="4">
        <v>12060</v>
      </c>
      <c r="I44" s="4">
        <v>12042.7</v>
      </c>
      <c r="J44" s="4">
        <v>11950.24</v>
      </c>
      <c r="K44" s="4">
        <v>8000</v>
      </c>
      <c r="L44" s="4" t="str">
        <f t="shared" si="2"/>
        <v>人民币</v>
      </c>
      <c r="M44" s="4" t="str">
        <f>"0136000199"</f>
        <v>0136000199</v>
      </c>
      <c r="N44" s="4" t="str">
        <f t="shared" ref="N44:N48" si="44">"A368402599"</f>
        <v>A368402599</v>
      </c>
      <c r="O44" s="4" t="str">
        <f t="shared" si="4"/>
        <v>300100052893</v>
      </c>
    </row>
    <row r="45" spans="1:15">
      <c r="A45" s="4" t="str">
        <f>"20210812"</f>
        <v>20210812</v>
      </c>
      <c r="B45" s="4" t="str">
        <f>"20210812"</f>
        <v>20210812</v>
      </c>
      <c r="C45" s="4" t="str">
        <f>"基金申购拨出"</f>
        <v>基金申购拨出</v>
      </c>
      <c r="D45" s="4" t="str">
        <f t="shared" ref="D45:D49" si="45">"AA0007"</f>
        <v>AA0007</v>
      </c>
      <c r="E45" s="4" t="str">
        <f t="shared" ref="E45:E49" si="46">"银河水星1号集合"</f>
        <v>银河水星1号集合</v>
      </c>
      <c r="F45" s="4">
        <v>0</v>
      </c>
      <c r="G45" s="4">
        <v>0</v>
      </c>
      <c r="H45" s="4">
        <v>0</v>
      </c>
      <c r="I45" s="4">
        <v>-12704.94</v>
      </c>
      <c r="J45" s="4">
        <v>-92.34</v>
      </c>
      <c r="K45" s="4">
        <v>0</v>
      </c>
      <c r="L45" s="4" t="str">
        <f t="shared" si="2"/>
        <v>人民币</v>
      </c>
      <c r="N45" s="4" t="str">
        <f t="shared" ref="N45:N49" si="47">"980149593788"</f>
        <v>980149593788</v>
      </c>
      <c r="O45" s="4" t="str">
        <f t="shared" si="4"/>
        <v>300100052893</v>
      </c>
    </row>
    <row r="46" spans="1:15">
      <c r="A46" s="4" t="str">
        <f>"20210812"</f>
        <v>20210812</v>
      </c>
      <c r="B46" s="4" t="str">
        <f>"20210812"</f>
        <v>20210812</v>
      </c>
      <c r="C46" s="4" t="str">
        <f t="shared" ref="C46:C51" si="48">"证券卖出"</f>
        <v>证券卖出</v>
      </c>
      <c r="D46" s="4" t="str">
        <f t="shared" si="42"/>
        <v>600028</v>
      </c>
      <c r="E46" s="4" t="str">
        <f t="shared" si="43"/>
        <v>中国石化</v>
      </c>
      <c r="F46" s="4">
        <v>4.06</v>
      </c>
      <c r="G46" s="4">
        <v>3000</v>
      </c>
      <c r="H46" s="4">
        <v>12180</v>
      </c>
      <c r="I46" s="4">
        <v>12162.58</v>
      </c>
      <c r="J46" s="4">
        <v>12070.24</v>
      </c>
      <c r="K46" s="4">
        <v>5000</v>
      </c>
      <c r="L46" s="4" t="str">
        <f t="shared" si="2"/>
        <v>人民币</v>
      </c>
      <c r="M46" s="4" t="str">
        <f>"0136000291"</f>
        <v>0136000291</v>
      </c>
      <c r="N46" s="4" t="str">
        <f t="shared" si="44"/>
        <v>A368402599</v>
      </c>
      <c r="O46" s="4" t="str">
        <f t="shared" si="4"/>
        <v>300100052893</v>
      </c>
    </row>
    <row r="47" spans="1:15">
      <c r="A47" s="4" t="str">
        <f>"20210813"</f>
        <v>20210813</v>
      </c>
      <c r="B47" s="4" t="str">
        <f>"20210813"</f>
        <v>20210813</v>
      </c>
      <c r="C47" s="4" t="str">
        <f>"基金赎回拨入"</f>
        <v>基金赎回拨入</v>
      </c>
      <c r="D47" s="4" t="str">
        <f t="shared" si="45"/>
        <v>AA0007</v>
      </c>
      <c r="E47" s="4" t="str">
        <f t="shared" si="46"/>
        <v>银河水星1号集合</v>
      </c>
      <c r="F47" s="4">
        <v>0</v>
      </c>
      <c r="G47" s="4">
        <v>11945</v>
      </c>
      <c r="H47" s="4">
        <v>0</v>
      </c>
      <c r="I47" s="4">
        <v>11945.28</v>
      </c>
      <c r="J47" s="4">
        <v>24015.48</v>
      </c>
      <c r="K47" s="4">
        <v>0</v>
      </c>
      <c r="L47" s="4" t="str">
        <f t="shared" si="2"/>
        <v>人民币</v>
      </c>
      <c r="N47" s="4" t="str">
        <f t="shared" si="47"/>
        <v>980149593788</v>
      </c>
      <c r="O47" s="4" t="str">
        <f t="shared" si="4"/>
        <v>300100052893</v>
      </c>
    </row>
    <row r="48" spans="1:15">
      <c r="A48" s="4" t="str">
        <f>"20210813"</f>
        <v>20210813</v>
      </c>
      <c r="B48" s="4" t="str">
        <f>"20210813"</f>
        <v>20210813</v>
      </c>
      <c r="C48" s="4" t="str">
        <f>"证券买入"</f>
        <v>证券买入</v>
      </c>
      <c r="D48" s="4" t="str">
        <f t="shared" si="42"/>
        <v>600028</v>
      </c>
      <c r="E48" s="4" t="str">
        <f t="shared" si="43"/>
        <v>中国石化</v>
      </c>
      <c r="F48" s="4">
        <v>4.02</v>
      </c>
      <c r="G48" s="4">
        <v>3000</v>
      </c>
      <c r="H48" s="4">
        <v>12060</v>
      </c>
      <c r="I48" s="4">
        <v>-12065.24</v>
      </c>
      <c r="J48" s="4">
        <v>11950.24</v>
      </c>
      <c r="K48" s="4">
        <v>8000</v>
      </c>
      <c r="L48" s="4" t="str">
        <f t="shared" si="2"/>
        <v>人民币</v>
      </c>
      <c r="M48" s="4" t="str">
        <f>"0136000219"</f>
        <v>0136000219</v>
      </c>
      <c r="N48" s="4" t="str">
        <f t="shared" si="44"/>
        <v>A368402599</v>
      </c>
      <c r="O48" s="4" t="str">
        <f t="shared" si="4"/>
        <v>300100052893</v>
      </c>
    </row>
    <row r="49" spans="1:15">
      <c r="A49" s="4" t="str">
        <f>"20210816"</f>
        <v>20210816</v>
      </c>
      <c r="B49" s="4" t="str">
        <f>"20210816"</f>
        <v>20210816</v>
      </c>
      <c r="C49" s="4" t="str">
        <f>"基金申购拨出"</f>
        <v>基金申购拨出</v>
      </c>
      <c r="D49" s="4" t="str">
        <f t="shared" si="45"/>
        <v>AA0007</v>
      </c>
      <c r="E49" s="4" t="str">
        <f t="shared" si="46"/>
        <v>银河水星1号集合</v>
      </c>
      <c r="F49" s="4">
        <v>0</v>
      </c>
      <c r="G49" s="4">
        <v>0</v>
      </c>
      <c r="H49" s="4">
        <v>0</v>
      </c>
      <c r="I49" s="4">
        <v>-12042.54</v>
      </c>
      <c r="J49" s="4">
        <v>-92.34</v>
      </c>
      <c r="K49" s="4">
        <v>0</v>
      </c>
      <c r="L49" s="4" t="str">
        <f t="shared" si="2"/>
        <v>人民币</v>
      </c>
      <c r="N49" s="4" t="str">
        <f t="shared" si="47"/>
        <v>980149593788</v>
      </c>
      <c r="O49" s="4" t="str">
        <f t="shared" si="4"/>
        <v>300100052893</v>
      </c>
    </row>
    <row r="50" spans="1:15">
      <c r="A50" s="4" t="str">
        <f>"20210816"</f>
        <v>20210816</v>
      </c>
      <c r="B50" s="4" t="str">
        <f>"20210816"</f>
        <v>20210816</v>
      </c>
      <c r="C50" s="4" t="str">
        <f t="shared" si="48"/>
        <v>证券卖出</v>
      </c>
      <c r="D50" s="4" t="str">
        <f t="shared" ref="D50:D52" si="49">"600028"</f>
        <v>600028</v>
      </c>
      <c r="E50" s="4" t="str">
        <f t="shared" ref="E50:E52" si="50">"中国石化"</f>
        <v>中国石化</v>
      </c>
      <c r="F50" s="4">
        <v>4.06</v>
      </c>
      <c r="G50" s="4">
        <v>3000</v>
      </c>
      <c r="H50" s="4">
        <v>12180</v>
      </c>
      <c r="I50" s="4">
        <v>12162.58</v>
      </c>
      <c r="J50" s="4">
        <v>12070.24</v>
      </c>
      <c r="K50" s="4">
        <v>5000</v>
      </c>
      <c r="L50" s="4" t="str">
        <f t="shared" si="2"/>
        <v>人民币</v>
      </c>
      <c r="M50" s="4" t="str">
        <f>"0136000285"</f>
        <v>0136000285</v>
      </c>
      <c r="N50" s="4" t="str">
        <f t="shared" ref="N50:N52" si="51">"A368402599"</f>
        <v>A368402599</v>
      </c>
      <c r="O50" s="4" t="str">
        <f t="shared" si="4"/>
        <v>300100052893</v>
      </c>
    </row>
    <row r="51" spans="1:15">
      <c r="A51" s="4" t="str">
        <f>"20210817"</f>
        <v>20210817</v>
      </c>
      <c r="B51" s="4" t="str">
        <f>"20210817"</f>
        <v>20210817</v>
      </c>
      <c r="C51" s="4" t="str">
        <f t="shared" si="48"/>
        <v>证券卖出</v>
      </c>
      <c r="D51" s="4" t="str">
        <f t="shared" si="49"/>
        <v>600028</v>
      </c>
      <c r="E51" s="4" t="str">
        <f t="shared" si="50"/>
        <v>中国石化</v>
      </c>
      <c r="F51" s="4">
        <v>4.1</v>
      </c>
      <c r="G51" s="4">
        <v>3000</v>
      </c>
      <c r="H51" s="4">
        <v>12300</v>
      </c>
      <c r="I51" s="4">
        <v>12282.45</v>
      </c>
      <c r="J51" s="4">
        <v>24352.57</v>
      </c>
      <c r="K51" s="4">
        <v>2000</v>
      </c>
      <c r="L51" s="4" t="str">
        <f t="shared" si="2"/>
        <v>人民币</v>
      </c>
      <c r="M51" s="4" t="str">
        <f>"0136000275"</f>
        <v>0136000275</v>
      </c>
      <c r="N51" s="4" t="str">
        <f t="shared" si="51"/>
        <v>A368402599</v>
      </c>
      <c r="O51" s="4" t="str">
        <f t="shared" si="4"/>
        <v>300100052893</v>
      </c>
    </row>
    <row r="52" spans="1:15">
      <c r="A52" s="4" t="str">
        <f>"20210817"</f>
        <v>20210817</v>
      </c>
      <c r="B52" s="4" t="str">
        <f>"20210817"</f>
        <v>20210817</v>
      </c>
      <c r="C52" s="4" t="str">
        <f t="shared" ref="C52:C55" si="52">"证券买入"</f>
        <v>证券买入</v>
      </c>
      <c r="D52" s="4" t="str">
        <f t="shared" si="49"/>
        <v>600028</v>
      </c>
      <c r="E52" s="4" t="str">
        <f t="shared" si="50"/>
        <v>中国石化</v>
      </c>
      <c r="F52" s="4">
        <v>4.06</v>
      </c>
      <c r="G52" s="4">
        <v>3000</v>
      </c>
      <c r="H52" s="4">
        <v>12180</v>
      </c>
      <c r="I52" s="4">
        <v>-12185.24</v>
      </c>
      <c r="J52" s="4">
        <v>12167.33</v>
      </c>
      <c r="K52" s="4">
        <v>5000</v>
      </c>
      <c r="L52" s="4" t="str">
        <f t="shared" si="2"/>
        <v>人民币</v>
      </c>
      <c r="M52" s="4" t="str">
        <f>"0136001388"</f>
        <v>0136001388</v>
      </c>
      <c r="N52" s="4" t="str">
        <f t="shared" si="51"/>
        <v>A368402599</v>
      </c>
      <c r="O52" s="4" t="str">
        <f t="shared" si="4"/>
        <v>300100052893</v>
      </c>
    </row>
    <row r="53" spans="1:15">
      <c r="A53" s="4" t="str">
        <f t="shared" ref="A53:A55" si="53">"20210819"</f>
        <v>20210819</v>
      </c>
      <c r="B53" s="4" t="str">
        <f t="shared" ref="B53:B55" si="54">"20210819"</f>
        <v>20210819</v>
      </c>
      <c r="C53" s="4" t="str">
        <f t="shared" ref="C53:C57" si="55">"基金赎回拨入"</f>
        <v>基金赎回拨入</v>
      </c>
      <c r="D53" s="4" t="str">
        <f t="shared" ref="D53:D58" si="56">"AA0007"</f>
        <v>AA0007</v>
      </c>
      <c r="E53" s="4" t="str">
        <f t="shared" ref="E53:E58" si="57">"银河水星1号集合"</f>
        <v>银河水星1号集合</v>
      </c>
      <c r="F53" s="4">
        <v>0</v>
      </c>
      <c r="G53" s="4">
        <v>23493</v>
      </c>
      <c r="H53" s="4">
        <v>0</v>
      </c>
      <c r="I53" s="4">
        <v>23493.46</v>
      </c>
      <c r="J53" s="4">
        <v>35660.71</v>
      </c>
      <c r="K53" s="4">
        <v>0</v>
      </c>
      <c r="L53" s="4" t="str">
        <f t="shared" si="2"/>
        <v>人民币</v>
      </c>
      <c r="N53" s="4" t="str">
        <f t="shared" ref="N53:N58" si="58">"980149593788"</f>
        <v>980149593788</v>
      </c>
      <c r="O53" s="4" t="str">
        <f t="shared" si="4"/>
        <v>300100052893</v>
      </c>
    </row>
    <row r="54" spans="1:15">
      <c r="A54" s="4" t="str">
        <f t="shared" si="53"/>
        <v>20210819</v>
      </c>
      <c r="B54" s="4" t="str">
        <f t="shared" si="54"/>
        <v>20210819</v>
      </c>
      <c r="C54" s="4" t="str">
        <f t="shared" si="52"/>
        <v>证券买入</v>
      </c>
      <c r="D54" s="4" t="str">
        <f t="shared" ref="D54:D59" si="59">"600028"</f>
        <v>600028</v>
      </c>
      <c r="E54" s="4" t="str">
        <f t="shared" ref="E54:E59" si="60">"中国石化"</f>
        <v>中国石化</v>
      </c>
      <c r="F54" s="4">
        <v>4.01</v>
      </c>
      <c r="G54" s="4">
        <v>3000</v>
      </c>
      <c r="H54" s="4">
        <v>12030</v>
      </c>
      <c r="I54" s="4">
        <v>-12035.24</v>
      </c>
      <c r="J54" s="4">
        <v>23625.47</v>
      </c>
      <c r="K54" s="4">
        <v>8000</v>
      </c>
      <c r="L54" s="4" t="str">
        <f t="shared" si="2"/>
        <v>人民币</v>
      </c>
      <c r="M54" s="4" t="str">
        <f>"0136000260"</f>
        <v>0136000260</v>
      </c>
      <c r="N54" s="4" t="str">
        <f t="shared" ref="N54:N59" si="61">"A368402599"</f>
        <v>A368402599</v>
      </c>
      <c r="O54" s="4" t="str">
        <f t="shared" si="4"/>
        <v>300100052893</v>
      </c>
    </row>
    <row r="55" spans="1:15">
      <c r="A55" s="4" t="str">
        <f t="shared" si="53"/>
        <v>20210819</v>
      </c>
      <c r="B55" s="4" t="str">
        <f t="shared" si="54"/>
        <v>20210819</v>
      </c>
      <c r="C55" s="4" t="str">
        <f t="shared" si="52"/>
        <v>证券买入</v>
      </c>
      <c r="D55" s="4" t="str">
        <f t="shared" si="59"/>
        <v>600028</v>
      </c>
      <c r="E55" s="4" t="str">
        <f t="shared" si="60"/>
        <v>中国石化</v>
      </c>
      <c r="F55" s="4">
        <v>3.96</v>
      </c>
      <c r="G55" s="4">
        <v>3000</v>
      </c>
      <c r="H55" s="4">
        <v>11880</v>
      </c>
      <c r="I55" s="4">
        <v>-11885.24</v>
      </c>
      <c r="J55" s="4">
        <v>11740.23</v>
      </c>
      <c r="K55" s="4">
        <v>11000</v>
      </c>
      <c r="L55" s="4" t="str">
        <f t="shared" si="2"/>
        <v>人民币</v>
      </c>
      <c r="M55" s="4" t="str">
        <f>"0136002257"</f>
        <v>0136002257</v>
      </c>
      <c r="N55" s="4" t="str">
        <f t="shared" si="61"/>
        <v>A368402599</v>
      </c>
      <c r="O55" s="4" t="str">
        <f t="shared" si="4"/>
        <v>300100052893</v>
      </c>
    </row>
    <row r="56" spans="1:15">
      <c r="A56" s="4" t="str">
        <f>"20210820"</f>
        <v>20210820</v>
      </c>
      <c r="B56" s="4" t="str">
        <f>"20210820"</f>
        <v>20210820</v>
      </c>
      <c r="C56" s="4" t="str">
        <f t="shared" si="55"/>
        <v>基金赎回拨入</v>
      </c>
      <c r="D56" s="4" t="str">
        <f t="shared" si="56"/>
        <v>AA0007</v>
      </c>
      <c r="E56" s="4" t="str">
        <f t="shared" si="57"/>
        <v>银河水星1号集合</v>
      </c>
      <c r="F56" s="4">
        <v>0</v>
      </c>
      <c r="G56" s="4">
        <v>0</v>
      </c>
      <c r="H56" s="4">
        <v>0</v>
      </c>
      <c r="I56" s="4">
        <v>0.04</v>
      </c>
      <c r="J56" s="4">
        <v>11740.23</v>
      </c>
      <c r="K56" s="4">
        <v>0</v>
      </c>
      <c r="L56" s="4" t="str">
        <f t="shared" si="2"/>
        <v>人民币</v>
      </c>
      <c r="N56" s="4" t="str">
        <f t="shared" si="58"/>
        <v>980149593788</v>
      </c>
      <c r="O56" s="4" t="str">
        <f t="shared" si="4"/>
        <v>300100052893</v>
      </c>
    </row>
    <row r="57" spans="1:15">
      <c r="A57" s="4" t="str">
        <f>"20210823"</f>
        <v>20210823</v>
      </c>
      <c r="B57" s="4" t="str">
        <f>"20210823"</f>
        <v>20210823</v>
      </c>
      <c r="C57" s="4" t="str">
        <f t="shared" si="55"/>
        <v>基金赎回拨入</v>
      </c>
      <c r="D57" s="4" t="str">
        <f t="shared" si="56"/>
        <v>AA0007</v>
      </c>
      <c r="E57" s="4" t="str">
        <f t="shared" si="57"/>
        <v>银河水星1号集合</v>
      </c>
      <c r="F57" s="4">
        <v>0</v>
      </c>
      <c r="G57" s="4">
        <v>0</v>
      </c>
      <c r="H57" s="4">
        <v>0</v>
      </c>
      <c r="I57" s="4">
        <v>0.04</v>
      </c>
      <c r="J57" s="4">
        <v>11740.23</v>
      </c>
      <c r="K57" s="4">
        <v>0</v>
      </c>
      <c r="L57" s="4" t="str">
        <f t="shared" si="2"/>
        <v>人民币</v>
      </c>
      <c r="N57" s="4" t="str">
        <f t="shared" si="58"/>
        <v>980149593788</v>
      </c>
      <c r="O57" s="4" t="str">
        <f t="shared" si="4"/>
        <v>300100052893</v>
      </c>
    </row>
    <row r="58" spans="1:15">
      <c r="A58" s="4" t="str">
        <f>"20210824"</f>
        <v>20210824</v>
      </c>
      <c r="B58" s="4" t="str">
        <f>"20210824"</f>
        <v>20210824</v>
      </c>
      <c r="C58" s="4" t="str">
        <f>"基金申购拨出"</f>
        <v>基金申购拨出</v>
      </c>
      <c r="D58" s="4" t="str">
        <f t="shared" si="56"/>
        <v>AA0007</v>
      </c>
      <c r="E58" s="4" t="str">
        <f t="shared" si="57"/>
        <v>银河水星1号集合</v>
      </c>
      <c r="F58" s="4">
        <v>0</v>
      </c>
      <c r="G58" s="4">
        <v>0</v>
      </c>
      <c r="H58" s="4">
        <v>0</v>
      </c>
      <c r="I58" s="4">
        <v>-11892.56</v>
      </c>
      <c r="J58" s="4">
        <v>-152.46</v>
      </c>
      <c r="K58" s="4">
        <v>0</v>
      </c>
      <c r="L58" s="4" t="str">
        <f t="shared" si="2"/>
        <v>人民币</v>
      </c>
      <c r="N58" s="4" t="str">
        <f t="shared" si="58"/>
        <v>980149593788</v>
      </c>
      <c r="O58" s="4" t="str">
        <f t="shared" si="4"/>
        <v>300100052893</v>
      </c>
    </row>
    <row r="59" spans="1:15">
      <c r="A59" s="4" t="str">
        <f>"20210824"</f>
        <v>20210824</v>
      </c>
      <c r="B59" s="4" t="str">
        <f>"20210824"</f>
        <v>20210824</v>
      </c>
      <c r="C59" s="4" t="str">
        <f>"证券卖出"</f>
        <v>证券卖出</v>
      </c>
      <c r="D59" s="4" t="str">
        <f t="shared" si="59"/>
        <v>600028</v>
      </c>
      <c r="E59" s="4" t="str">
        <f t="shared" si="60"/>
        <v>中国石化</v>
      </c>
      <c r="F59" s="4">
        <v>4.02</v>
      </c>
      <c r="G59" s="4">
        <v>3000</v>
      </c>
      <c r="H59" s="4">
        <v>12060</v>
      </c>
      <c r="I59" s="4">
        <v>12042.7</v>
      </c>
      <c r="J59" s="4">
        <v>11890.24</v>
      </c>
      <c r="K59" s="4">
        <v>8000</v>
      </c>
      <c r="L59" s="4" t="str">
        <f t="shared" si="2"/>
        <v>人民币</v>
      </c>
      <c r="M59" s="4" t="str">
        <f>"0136000253"</f>
        <v>0136000253</v>
      </c>
      <c r="N59" s="4" t="str">
        <f t="shared" si="61"/>
        <v>A368402599</v>
      </c>
      <c r="O59" s="4" t="str">
        <f t="shared" si="4"/>
        <v>300100052893</v>
      </c>
    </row>
    <row r="60" spans="1:15">
      <c r="A60" s="4" t="str">
        <f>"20210825"</f>
        <v>20210825</v>
      </c>
      <c r="B60" s="4" t="str">
        <f>"20210825"</f>
        <v>20210825</v>
      </c>
      <c r="C60" s="4" t="str">
        <f>"基金赎回拨入"</f>
        <v>基金赎回拨入</v>
      </c>
      <c r="D60" s="4" t="str">
        <f t="shared" ref="D60:D64" si="62">"AA0007"</f>
        <v>AA0007</v>
      </c>
      <c r="E60" s="4" t="str">
        <f t="shared" ref="E60:E64" si="63">"银河水星1号集合"</f>
        <v>银河水星1号集合</v>
      </c>
      <c r="F60" s="4">
        <v>0</v>
      </c>
      <c r="G60" s="4">
        <v>0</v>
      </c>
      <c r="H60" s="4">
        <v>0</v>
      </c>
      <c r="I60" s="4">
        <v>0.04</v>
      </c>
      <c r="J60" s="4">
        <v>11890.24</v>
      </c>
      <c r="K60" s="4">
        <v>0</v>
      </c>
      <c r="L60" s="4" t="str">
        <f t="shared" si="2"/>
        <v>人民币</v>
      </c>
      <c r="N60" s="4" t="str">
        <f t="shared" ref="N60:N64" si="64">"980149593788"</f>
        <v>980149593788</v>
      </c>
      <c r="O60" s="4" t="str">
        <f t="shared" si="4"/>
        <v>300100052893</v>
      </c>
    </row>
    <row r="61" spans="1:15">
      <c r="A61" s="4" t="str">
        <f t="shared" ref="A61:A63" si="65">"20210826"</f>
        <v>20210826</v>
      </c>
      <c r="B61" s="4" t="str">
        <f t="shared" ref="B61:B63" si="66">"20210826"</f>
        <v>20210826</v>
      </c>
      <c r="C61" s="4" t="str">
        <f>"基金申购拨出"</f>
        <v>基金申购拨出</v>
      </c>
      <c r="D61" s="4" t="str">
        <f t="shared" si="62"/>
        <v>AA0007</v>
      </c>
      <c r="E61" s="4" t="str">
        <f t="shared" si="63"/>
        <v>银河水星1号集合</v>
      </c>
      <c r="F61" s="4">
        <v>0</v>
      </c>
      <c r="G61" s="4">
        <v>0</v>
      </c>
      <c r="H61" s="4">
        <v>0</v>
      </c>
      <c r="I61" s="4">
        <v>-12012.54</v>
      </c>
      <c r="J61" s="4">
        <v>-122.34</v>
      </c>
      <c r="K61" s="4">
        <v>0</v>
      </c>
      <c r="L61" s="4" t="str">
        <f t="shared" si="2"/>
        <v>人民币</v>
      </c>
      <c r="N61" s="4" t="str">
        <f t="shared" si="64"/>
        <v>980149593788</v>
      </c>
      <c r="O61" s="4" t="str">
        <f t="shared" si="4"/>
        <v>300100052893</v>
      </c>
    </row>
    <row r="62" spans="1:15">
      <c r="A62" s="4" t="str">
        <f t="shared" si="65"/>
        <v>20210826</v>
      </c>
      <c r="B62" s="4" t="str">
        <f t="shared" si="66"/>
        <v>20210826</v>
      </c>
      <c r="C62" s="4" t="str">
        <f>"红利入账"</f>
        <v>红利入账</v>
      </c>
      <c r="D62" s="4" t="str">
        <f>"000601"</f>
        <v>000601</v>
      </c>
      <c r="E62" s="4" t="str">
        <f>"韶能股份"</f>
        <v>韶能股份</v>
      </c>
      <c r="F62" s="4">
        <v>0</v>
      </c>
      <c r="G62" s="4">
        <v>0</v>
      </c>
      <c r="H62" s="4">
        <v>85</v>
      </c>
      <c r="I62" s="4">
        <v>85</v>
      </c>
      <c r="J62" s="4">
        <v>-37.34</v>
      </c>
      <c r="K62" s="4">
        <v>0</v>
      </c>
      <c r="L62" s="4" t="str">
        <f t="shared" si="2"/>
        <v>人民币</v>
      </c>
      <c r="N62" s="4" t="str">
        <f>"0149593788"</f>
        <v>0149593788</v>
      </c>
      <c r="O62" s="4" t="str">
        <f t="shared" si="4"/>
        <v>300100052893</v>
      </c>
    </row>
    <row r="63" spans="1:15">
      <c r="A63" s="4" t="str">
        <f t="shared" si="65"/>
        <v>20210826</v>
      </c>
      <c r="B63" s="4" t="str">
        <f t="shared" si="66"/>
        <v>20210826</v>
      </c>
      <c r="C63" s="4" t="str">
        <f t="shared" ref="C63:C67" si="67">"证券卖出"</f>
        <v>证券卖出</v>
      </c>
      <c r="D63" s="4" t="str">
        <f t="shared" ref="D63:D67" si="68">"600028"</f>
        <v>600028</v>
      </c>
      <c r="E63" s="4" t="str">
        <f t="shared" ref="E63:E67" si="69">"中国石化"</f>
        <v>中国石化</v>
      </c>
      <c r="F63" s="4">
        <v>4.06</v>
      </c>
      <c r="G63" s="4">
        <v>3000</v>
      </c>
      <c r="H63" s="4">
        <v>12180</v>
      </c>
      <c r="I63" s="4">
        <v>12162.58</v>
      </c>
      <c r="J63" s="4">
        <v>12125.24</v>
      </c>
      <c r="K63" s="4">
        <v>5000</v>
      </c>
      <c r="L63" s="4" t="str">
        <f t="shared" si="2"/>
        <v>人民币</v>
      </c>
      <c r="M63" s="4" t="str">
        <f>"0136000281"</f>
        <v>0136000281</v>
      </c>
      <c r="N63" s="4" t="str">
        <f t="shared" ref="N63:N67" si="70">"A368402599"</f>
        <v>A368402599</v>
      </c>
      <c r="O63" s="4" t="str">
        <f t="shared" si="4"/>
        <v>300100052893</v>
      </c>
    </row>
    <row r="64" spans="1:15">
      <c r="A64" s="4" t="str">
        <f>"20210827"</f>
        <v>20210827</v>
      </c>
      <c r="B64" s="4" t="str">
        <f>"20210827"</f>
        <v>20210827</v>
      </c>
      <c r="C64" s="4" t="str">
        <f>"基金申购拨出"</f>
        <v>基金申购拨出</v>
      </c>
      <c r="D64" s="4" t="str">
        <f t="shared" si="62"/>
        <v>AA0007</v>
      </c>
      <c r="E64" s="4" t="str">
        <f t="shared" si="63"/>
        <v>银河水星1号集合</v>
      </c>
      <c r="F64" s="4">
        <v>0</v>
      </c>
      <c r="G64" s="4">
        <v>0</v>
      </c>
      <c r="H64" s="4">
        <v>0</v>
      </c>
      <c r="I64" s="4">
        <v>-12247.38</v>
      </c>
      <c r="J64" s="4">
        <v>-122.18</v>
      </c>
      <c r="K64" s="4">
        <v>0</v>
      </c>
      <c r="L64" s="4" t="str">
        <f t="shared" si="2"/>
        <v>人民币</v>
      </c>
      <c r="N64" s="4" t="str">
        <f t="shared" si="64"/>
        <v>980149593788</v>
      </c>
      <c r="O64" s="4" t="str">
        <f t="shared" si="4"/>
        <v>300100052893</v>
      </c>
    </row>
    <row r="65" spans="1:15">
      <c r="A65" s="4" t="str">
        <f>"20210827"</f>
        <v>20210827</v>
      </c>
      <c r="B65" s="4" t="str">
        <f>"20210827"</f>
        <v>20210827</v>
      </c>
      <c r="C65" s="4" t="str">
        <f t="shared" si="67"/>
        <v>证券卖出</v>
      </c>
      <c r="D65" s="4" t="str">
        <f t="shared" si="68"/>
        <v>600028</v>
      </c>
      <c r="E65" s="4" t="str">
        <f t="shared" si="69"/>
        <v>中国石化</v>
      </c>
      <c r="F65" s="4">
        <v>4.11</v>
      </c>
      <c r="G65" s="4">
        <v>3000</v>
      </c>
      <c r="H65" s="4">
        <v>12330</v>
      </c>
      <c r="I65" s="4">
        <v>12312.42</v>
      </c>
      <c r="J65" s="4">
        <v>12190.24</v>
      </c>
      <c r="K65" s="4">
        <v>2000</v>
      </c>
      <c r="L65" s="4" t="str">
        <f t="shared" si="2"/>
        <v>人民币</v>
      </c>
      <c r="M65" s="4" t="str">
        <f>"0136000263"</f>
        <v>0136000263</v>
      </c>
      <c r="N65" s="4" t="str">
        <f t="shared" si="70"/>
        <v>A368402599</v>
      </c>
      <c r="O65" s="4" t="str">
        <f t="shared" si="4"/>
        <v>300100052893</v>
      </c>
    </row>
    <row r="66" spans="1:15">
      <c r="A66" s="4" t="str">
        <f>"20210830"</f>
        <v>20210830</v>
      </c>
      <c r="B66" s="4" t="str">
        <f>"20210830"</f>
        <v>20210830</v>
      </c>
      <c r="C66" s="4" t="str">
        <f t="shared" ref="C66:C72" si="71">"基金赎回拨入"</f>
        <v>基金赎回拨入</v>
      </c>
      <c r="D66" s="4" t="str">
        <f t="shared" ref="D66:D73" si="72">"AA0007"</f>
        <v>AA0007</v>
      </c>
      <c r="E66" s="4" t="str">
        <f t="shared" ref="E66:E73" si="73">"银河水星1号集合"</f>
        <v>银河水星1号集合</v>
      </c>
      <c r="F66" s="4">
        <v>0</v>
      </c>
      <c r="G66" s="4">
        <v>4847</v>
      </c>
      <c r="H66" s="4">
        <v>0</v>
      </c>
      <c r="I66" s="4">
        <v>4847.27</v>
      </c>
      <c r="J66" s="4">
        <v>17037.47</v>
      </c>
      <c r="K66" s="4">
        <v>0</v>
      </c>
      <c r="L66" s="4" t="str">
        <f t="shared" ref="L66:L91" si="74">"人民币"</f>
        <v>人民币</v>
      </c>
      <c r="N66" s="4" t="str">
        <f t="shared" ref="N66:N73" si="75">"980149593788"</f>
        <v>980149593788</v>
      </c>
      <c r="O66" s="4" t="str">
        <f t="shared" ref="O66:O91" si="76">"300100052893"</f>
        <v>300100052893</v>
      </c>
    </row>
    <row r="67" spans="1:15">
      <c r="A67" s="4" t="str">
        <f>"20210830"</f>
        <v>20210830</v>
      </c>
      <c r="B67" s="4" t="str">
        <f>"20210830"</f>
        <v>20210830</v>
      </c>
      <c r="C67" s="4" t="str">
        <f t="shared" si="67"/>
        <v>证券卖出</v>
      </c>
      <c r="D67" s="4" t="str">
        <f t="shared" si="68"/>
        <v>600028</v>
      </c>
      <c r="E67" s="4" t="str">
        <f t="shared" si="69"/>
        <v>中国石化</v>
      </c>
      <c r="F67" s="4">
        <v>4.16</v>
      </c>
      <c r="G67" s="4">
        <v>2000</v>
      </c>
      <c r="H67" s="4">
        <v>8320</v>
      </c>
      <c r="I67" s="4">
        <v>8306.51</v>
      </c>
      <c r="J67" s="4">
        <v>25343.98</v>
      </c>
      <c r="K67" s="4">
        <v>0</v>
      </c>
      <c r="L67" s="4" t="str">
        <f t="shared" si="74"/>
        <v>人民币</v>
      </c>
      <c r="M67" s="4" t="str">
        <f>"0136000745"</f>
        <v>0136000745</v>
      </c>
      <c r="N67" s="4" t="str">
        <f t="shared" si="70"/>
        <v>A368402599</v>
      </c>
      <c r="O67" s="4" t="str">
        <f t="shared" si="76"/>
        <v>300100052893</v>
      </c>
    </row>
    <row r="68" spans="1:15">
      <c r="A68" s="4" t="str">
        <f>"20210901"</f>
        <v>20210901</v>
      </c>
      <c r="B68" s="4" t="str">
        <f>"20210901"</f>
        <v>20210901</v>
      </c>
      <c r="C68" s="4" t="str">
        <f t="shared" si="71"/>
        <v>基金赎回拨入</v>
      </c>
      <c r="D68" s="4" t="str">
        <f t="shared" si="72"/>
        <v>AA0007</v>
      </c>
      <c r="E68" s="4" t="str">
        <f t="shared" si="73"/>
        <v>银河水星1号集合</v>
      </c>
      <c r="F68" s="4">
        <v>0</v>
      </c>
      <c r="G68" s="4">
        <v>14145</v>
      </c>
      <c r="H68" s="4">
        <v>0</v>
      </c>
      <c r="I68" s="4">
        <v>14145.48</v>
      </c>
      <c r="J68" s="4">
        <v>39489.3</v>
      </c>
      <c r="K68" s="4">
        <v>0</v>
      </c>
      <c r="L68" s="4" t="str">
        <f t="shared" si="74"/>
        <v>人民币</v>
      </c>
      <c r="N68" s="4" t="str">
        <f t="shared" si="75"/>
        <v>980149593788</v>
      </c>
      <c r="O68" s="4" t="str">
        <f t="shared" si="76"/>
        <v>300100052893</v>
      </c>
    </row>
    <row r="69" spans="1:15">
      <c r="A69" s="4" t="str">
        <f>"20210901"</f>
        <v>20210901</v>
      </c>
      <c r="B69" s="4" t="str">
        <f>"20210901"</f>
        <v>20210901</v>
      </c>
      <c r="C69" s="4" t="str">
        <f>"证券买入"</f>
        <v>证券买入</v>
      </c>
      <c r="D69" s="4" t="str">
        <f>"000601"</f>
        <v>000601</v>
      </c>
      <c r="E69" s="4" t="str">
        <f>"韶能股份"</f>
        <v>韶能股份</v>
      </c>
      <c r="F69" s="4">
        <v>4.84</v>
      </c>
      <c r="G69" s="4">
        <v>3000</v>
      </c>
      <c r="H69" s="4">
        <v>14520</v>
      </c>
      <c r="I69" s="4">
        <v>-14525</v>
      </c>
      <c r="J69" s="4">
        <v>24964.3</v>
      </c>
      <c r="K69" s="4">
        <v>4700</v>
      </c>
      <c r="L69" s="4" t="str">
        <f t="shared" si="74"/>
        <v>人民币</v>
      </c>
      <c r="M69" s="4" t="str">
        <f>"T4015002"</f>
        <v>T4015002</v>
      </c>
      <c r="N69" s="4" t="str">
        <f>"0149593788"</f>
        <v>0149593788</v>
      </c>
      <c r="O69" s="4" t="str">
        <f t="shared" si="76"/>
        <v>300100052893</v>
      </c>
    </row>
    <row r="70" spans="1:15">
      <c r="A70" s="4" t="str">
        <f>"20210902"</f>
        <v>20210902</v>
      </c>
      <c r="B70" s="4" t="str">
        <f>"20210902"</f>
        <v>20210902</v>
      </c>
      <c r="C70" s="4" t="str">
        <f t="shared" ref="C70:C75" si="77">"基金申购拨出"</f>
        <v>基金申购拨出</v>
      </c>
      <c r="D70" s="4" t="str">
        <f t="shared" si="72"/>
        <v>AA0007</v>
      </c>
      <c r="E70" s="4" t="str">
        <f t="shared" si="73"/>
        <v>银河水星1号集合</v>
      </c>
      <c r="F70" s="4">
        <v>0</v>
      </c>
      <c r="G70" s="4">
        <v>0</v>
      </c>
      <c r="H70" s="4">
        <v>0</v>
      </c>
      <c r="I70" s="4">
        <v>-13044.05</v>
      </c>
      <c r="J70" s="4">
        <v>-853.85</v>
      </c>
      <c r="K70" s="4">
        <v>0</v>
      </c>
      <c r="L70" s="4" t="str">
        <f t="shared" si="74"/>
        <v>人民币</v>
      </c>
      <c r="N70" s="4" t="str">
        <f t="shared" si="75"/>
        <v>980149593788</v>
      </c>
      <c r="O70" s="4" t="str">
        <f t="shared" si="76"/>
        <v>300100052893</v>
      </c>
    </row>
    <row r="71" spans="1:15">
      <c r="A71" s="4" t="str">
        <f>"20210903"</f>
        <v>20210903</v>
      </c>
      <c r="B71" s="4" t="str">
        <f>"20210903"</f>
        <v>20210903</v>
      </c>
      <c r="C71" s="4" t="str">
        <f t="shared" si="71"/>
        <v>基金赎回拨入</v>
      </c>
      <c r="D71" s="4" t="str">
        <f t="shared" si="72"/>
        <v>AA0007</v>
      </c>
      <c r="E71" s="4" t="str">
        <f t="shared" si="73"/>
        <v>银河水星1号集合</v>
      </c>
      <c r="F71" s="4">
        <v>0</v>
      </c>
      <c r="G71" s="4">
        <v>0</v>
      </c>
      <c r="H71" s="4">
        <v>0</v>
      </c>
      <c r="I71" s="4">
        <v>0.05</v>
      </c>
      <c r="J71" s="4">
        <v>12190.24</v>
      </c>
      <c r="K71" s="4">
        <v>0</v>
      </c>
      <c r="L71" s="4" t="str">
        <f t="shared" si="74"/>
        <v>人民币</v>
      </c>
      <c r="N71" s="4" t="str">
        <f t="shared" si="75"/>
        <v>980149593788</v>
      </c>
      <c r="O71" s="4" t="str">
        <f t="shared" si="76"/>
        <v>300100052893</v>
      </c>
    </row>
    <row r="72" spans="1:15">
      <c r="A72" s="4" t="str">
        <f>"20210906"</f>
        <v>20210906</v>
      </c>
      <c r="B72" s="4" t="str">
        <f>"20210906"</f>
        <v>20210906</v>
      </c>
      <c r="C72" s="4" t="str">
        <f t="shared" si="71"/>
        <v>基金赎回拨入</v>
      </c>
      <c r="D72" s="4" t="str">
        <f t="shared" si="72"/>
        <v>AA0007</v>
      </c>
      <c r="E72" s="4" t="str">
        <f t="shared" si="73"/>
        <v>银河水星1号集合</v>
      </c>
      <c r="F72" s="4">
        <v>0</v>
      </c>
      <c r="G72" s="4">
        <v>0</v>
      </c>
      <c r="H72" s="4">
        <v>0</v>
      </c>
      <c r="I72" s="4">
        <v>0.05</v>
      </c>
      <c r="J72" s="4">
        <v>12190.24</v>
      </c>
      <c r="K72" s="4">
        <v>0</v>
      </c>
      <c r="L72" s="4" t="str">
        <f t="shared" si="74"/>
        <v>人民币</v>
      </c>
      <c r="N72" s="4" t="str">
        <f t="shared" si="75"/>
        <v>980149593788</v>
      </c>
      <c r="O72" s="4" t="str">
        <f t="shared" si="76"/>
        <v>300100052893</v>
      </c>
    </row>
    <row r="73" spans="1:15">
      <c r="A73" s="4" t="str">
        <f>"20210907"</f>
        <v>20210907</v>
      </c>
      <c r="B73" s="4" t="str">
        <f>"20210907"</f>
        <v>20210907</v>
      </c>
      <c r="C73" s="4" t="str">
        <f t="shared" si="77"/>
        <v>基金申购拨出</v>
      </c>
      <c r="D73" s="4" t="str">
        <f t="shared" si="72"/>
        <v>AA0007</v>
      </c>
      <c r="E73" s="4" t="str">
        <f t="shared" si="73"/>
        <v>银河水星1号集合</v>
      </c>
      <c r="F73" s="4">
        <v>0</v>
      </c>
      <c r="G73" s="4">
        <v>0</v>
      </c>
      <c r="H73" s="4">
        <v>0</v>
      </c>
      <c r="I73" s="4">
        <v>-15459.37</v>
      </c>
      <c r="J73" s="4">
        <v>-3269.28</v>
      </c>
      <c r="K73" s="4">
        <v>0</v>
      </c>
      <c r="L73" s="4" t="str">
        <f t="shared" si="74"/>
        <v>人民币</v>
      </c>
      <c r="N73" s="4" t="str">
        <f t="shared" si="75"/>
        <v>980149593788</v>
      </c>
      <c r="O73" s="4" t="str">
        <f t="shared" si="76"/>
        <v>300100052893</v>
      </c>
    </row>
    <row r="74" spans="1:15">
      <c r="A74" s="4" t="str">
        <f>"20210907"</f>
        <v>20210907</v>
      </c>
      <c r="B74" s="4" t="str">
        <f>"20210907"</f>
        <v>20210907</v>
      </c>
      <c r="C74" s="4" t="str">
        <f>"证券卖出"</f>
        <v>证券卖出</v>
      </c>
      <c r="D74" s="4" t="str">
        <f>"000601"</f>
        <v>000601</v>
      </c>
      <c r="E74" s="4" t="str">
        <f>"韶能股份"</f>
        <v>韶能股份</v>
      </c>
      <c r="F74" s="4">
        <v>5.16</v>
      </c>
      <c r="G74" s="4">
        <v>3000</v>
      </c>
      <c r="H74" s="4">
        <v>15480</v>
      </c>
      <c r="I74" s="4">
        <v>15459.52</v>
      </c>
      <c r="J74" s="4">
        <v>12190.24</v>
      </c>
      <c r="K74" s="4">
        <v>1700</v>
      </c>
      <c r="L74" s="4" t="str">
        <f t="shared" si="74"/>
        <v>人民币</v>
      </c>
      <c r="M74" s="4" t="str">
        <f>"T4016749"</f>
        <v>T4016749</v>
      </c>
      <c r="N74" s="4" t="str">
        <f>"0149593788"</f>
        <v>0149593788</v>
      </c>
      <c r="O74" s="4" t="str">
        <f t="shared" si="76"/>
        <v>300100052893</v>
      </c>
    </row>
    <row r="75" spans="1:15">
      <c r="A75" s="4" t="str">
        <f>"20210908"</f>
        <v>20210908</v>
      </c>
      <c r="B75" s="4" t="str">
        <f>"20210908"</f>
        <v>20210908</v>
      </c>
      <c r="C75" s="4" t="str">
        <f t="shared" si="77"/>
        <v>基金申购拨出</v>
      </c>
      <c r="D75" s="4" t="str">
        <f t="shared" ref="D75:D78" si="78">"AA0007"</f>
        <v>AA0007</v>
      </c>
      <c r="E75" s="4" t="str">
        <f t="shared" ref="E75:E78" si="79">"银河水星1号集合"</f>
        <v>银河水星1号集合</v>
      </c>
      <c r="F75" s="4">
        <v>0</v>
      </c>
      <c r="G75" s="4">
        <v>0</v>
      </c>
      <c r="H75" s="4">
        <v>0</v>
      </c>
      <c r="I75" s="4">
        <v>-12185.19</v>
      </c>
      <c r="J75" s="4">
        <v>5</v>
      </c>
      <c r="K75" s="4">
        <v>0</v>
      </c>
      <c r="L75" s="4" t="str">
        <f t="shared" si="74"/>
        <v>人民币</v>
      </c>
      <c r="N75" s="4" t="str">
        <f t="shared" ref="N75:N78" si="80">"980149593788"</f>
        <v>980149593788</v>
      </c>
      <c r="O75" s="4" t="str">
        <f t="shared" si="76"/>
        <v>300100052893</v>
      </c>
    </row>
    <row r="76" spans="1:15">
      <c r="A76" s="4" t="str">
        <f>"20210909"</f>
        <v>20210909</v>
      </c>
      <c r="B76" s="4" t="str">
        <f>"20210909"</f>
        <v>20210909</v>
      </c>
      <c r="C76" s="4" t="str">
        <f t="shared" ref="C76:C78" si="81">"基金赎回拨入"</f>
        <v>基金赎回拨入</v>
      </c>
      <c r="D76" s="4" t="str">
        <f t="shared" si="78"/>
        <v>AA0007</v>
      </c>
      <c r="E76" s="4" t="str">
        <f t="shared" si="79"/>
        <v>银河水星1号集合</v>
      </c>
      <c r="F76" s="4">
        <v>0</v>
      </c>
      <c r="G76" s="4">
        <v>0</v>
      </c>
      <c r="H76" s="4">
        <v>0</v>
      </c>
      <c r="I76" s="4">
        <v>0.05</v>
      </c>
      <c r="J76" s="4">
        <v>5</v>
      </c>
      <c r="K76" s="4">
        <v>0</v>
      </c>
      <c r="L76" s="4" t="str">
        <f t="shared" si="74"/>
        <v>人民币</v>
      </c>
      <c r="N76" s="4" t="str">
        <f t="shared" si="80"/>
        <v>980149593788</v>
      </c>
      <c r="O76" s="4" t="str">
        <f t="shared" si="76"/>
        <v>300100052893</v>
      </c>
    </row>
    <row r="77" spans="1:15">
      <c r="A77" s="4" t="str">
        <f>"20210910"</f>
        <v>20210910</v>
      </c>
      <c r="B77" s="4" t="str">
        <f>"20210910"</f>
        <v>20210910</v>
      </c>
      <c r="C77" s="4" t="str">
        <f t="shared" si="81"/>
        <v>基金赎回拨入</v>
      </c>
      <c r="D77" s="4" t="str">
        <f t="shared" si="78"/>
        <v>AA0007</v>
      </c>
      <c r="E77" s="4" t="str">
        <f t="shared" si="79"/>
        <v>银河水星1号集合</v>
      </c>
      <c r="F77" s="4">
        <v>0</v>
      </c>
      <c r="G77" s="4">
        <v>0</v>
      </c>
      <c r="H77" s="4">
        <v>0</v>
      </c>
      <c r="I77" s="4">
        <v>0.05</v>
      </c>
      <c r="J77" s="4">
        <v>5</v>
      </c>
      <c r="K77" s="4">
        <v>0</v>
      </c>
      <c r="L77" s="4" t="str">
        <f t="shared" si="74"/>
        <v>人民币</v>
      </c>
      <c r="N77" s="4" t="str">
        <f t="shared" si="80"/>
        <v>980149593788</v>
      </c>
      <c r="O77" s="4" t="str">
        <f t="shared" si="76"/>
        <v>300100052893</v>
      </c>
    </row>
    <row r="78" spans="1:15">
      <c r="A78" s="4" t="str">
        <f>"20210913"</f>
        <v>20210913</v>
      </c>
      <c r="B78" s="4" t="str">
        <f>"20210913"</f>
        <v>20210913</v>
      </c>
      <c r="C78" s="4" t="str">
        <f t="shared" si="81"/>
        <v>基金赎回拨入</v>
      </c>
      <c r="D78" s="4" t="str">
        <f t="shared" si="78"/>
        <v>AA0007</v>
      </c>
      <c r="E78" s="4" t="str">
        <f t="shared" si="79"/>
        <v>银河水星1号集合</v>
      </c>
      <c r="F78" s="4">
        <v>0</v>
      </c>
      <c r="G78" s="4">
        <v>25050</v>
      </c>
      <c r="H78" s="4">
        <v>0</v>
      </c>
      <c r="I78" s="4">
        <v>25050.05</v>
      </c>
      <c r="J78" s="4">
        <v>25055</v>
      </c>
      <c r="K78" s="4">
        <v>0</v>
      </c>
      <c r="L78" s="4" t="str">
        <f t="shared" si="74"/>
        <v>人民币</v>
      </c>
      <c r="N78" s="4" t="str">
        <f t="shared" si="80"/>
        <v>980149593788</v>
      </c>
      <c r="O78" s="4" t="str">
        <f t="shared" si="76"/>
        <v>300100052893</v>
      </c>
    </row>
    <row r="79" spans="1:15">
      <c r="A79" s="4" t="str">
        <f>"20210913"</f>
        <v>20210913</v>
      </c>
      <c r="B79" s="4" t="str">
        <f>"20210913"</f>
        <v>20210913</v>
      </c>
      <c r="C79" s="4" t="str">
        <f>"证券买入"</f>
        <v>证券买入</v>
      </c>
      <c r="D79" s="4" t="str">
        <f t="shared" ref="D79:D83" si="82">"159781"</f>
        <v>159781</v>
      </c>
      <c r="E79" s="4" t="str">
        <f t="shared" ref="E79:E83" si="83">"科创创业"</f>
        <v>科创创业</v>
      </c>
      <c r="F79" s="4">
        <v>0.839</v>
      </c>
      <c r="G79" s="4">
        <v>20000</v>
      </c>
      <c r="H79" s="4">
        <v>16780</v>
      </c>
      <c r="I79" s="4">
        <v>-16785</v>
      </c>
      <c r="J79" s="4">
        <v>8270</v>
      </c>
      <c r="K79" s="4">
        <v>20000</v>
      </c>
      <c r="L79" s="4" t="str">
        <f t="shared" si="74"/>
        <v>人民币</v>
      </c>
      <c r="M79" s="4" t="str">
        <f>"T4010826"</f>
        <v>T4010826</v>
      </c>
      <c r="N79" s="4" t="str">
        <f t="shared" ref="N79:N83" si="84">"0149593788"</f>
        <v>0149593788</v>
      </c>
      <c r="O79" s="4" t="str">
        <f t="shared" si="76"/>
        <v>300100052893</v>
      </c>
    </row>
    <row r="80" spans="1:15">
      <c r="A80" s="4" t="str">
        <f>"20210914"</f>
        <v>20210914</v>
      </c>
      <c r="B80" s="4" t="str">
        <f>"20210914"</f>
        <v>20210914</v>
      </c>
      <c r="C80" s="4" t="str">
        <f>"基金申购拨出"</f>
        <v>基金申购拨出</v>
      </c>
      <c r="D80" s="4" t="str">
        <f t="shared" ref="D80:D84" si="85">"AA0007"</f>
        <v>AA0007</v>
      </c>
      <c r="E80" s="4" t="str">
        <f t="shared" ref="E80:E84" si="86">"银河水星1号集合"</f>
        <v>银河水星1号集合</v>
      </c>
      <c r="F80" s="4">
        <v>0</v>
      </c>
      <c r="G80" s="4">
        <v>0</v>
      </c>
      <c r="H80" s="4">
        <v>0</v>
      </c>
      <c r="I80" s="4">
        <v>-8384.85</v>
      </c>
      <c r="J80" s="4">
        <v>-115</v>
      </c>
      <c r="K80" s="4">
        <v>0</v>
      </c>
      <c r="L80" s="4" t="str">
        <f t="shared" si="74"/>
        <v>人民币</v>
      </c>
      <c r="N80" s="4" t="str">
        <f t="shared" ref="N80:N84" si="87">"980149593788"</f>
        <v>980149593788</v>
      </c>
      <c r="O80" s="4" t="str">
        <f t="shared" si="76"/>
        <v>300100052893</v>
      </c>
    </row>
    <row r="81" spans="1:15">
      <c r="A81" s="4" t="str">
        <f>"20210914"</f>
        <v>20210914</v>
      </c>
      <c r="B81" s="4" t="str">
        <f>"20210914"</f>
        <v>20210914</v>
      </c>
      <c r="C81" s="4" t="str">
        <f>"证券卖出"</f>
        <v>证券卖出</v>
      </c>
      <c r="D81" s="4" t="str">
        <f t="shared" si="82"/>
        <v>159781</v>
      </c>
      <c r="E81" s="4" t="str">
        <f t="shared" si="83"/>
        <v>科创创业</v>
      </c>
      <c r="F81" s="4">
        <v>0.852</v>
      </c>
      <c r="G81" s="4">
        <v>10000</v>
      </c>
      <c r="H81" s="4">
        <v>8520</v>
      </c>
      <c r="I81" s="4">
        <v>8515</v>
      </c>
      <c r="J81" s="4">
        <v>8400</v>
      </c>
      <c r="K81" s="4">
        <v>10000</v>
      </c>
      <c r="L81" s="4" t="str">
        <f t="shared" si="74"/>
        <v>人民币</v>
      </c>
      <c r="M81" s="4" t="str">
        <f>"T4000290"</f>
        <v>T4000290</v>
      </c>
      <c r="N81" s="4" t="str">
        <f t="shared" si="84"/>
        <v>0149593788</v>
      </c>
      <c r="O81" s="4" t="str">
        <f t="shared" si="76"/>
        <v>300100052893</v>
      </c>
    </row>
    <row r="82" spans="1:15">
      <c r="A82" s="4" t="str">
        <f>"20210915"</f>
        <v>20210915</v>
      </c>
      <c r="B82" s="4" t="str">
        <f>"20210915"</f>
        <v>20210915</v>
      </c>
      <c r="C82" s="4" t="str">
        <f>"基金赎回拨入"</f>
        <v>基金赎回拨入</v>
      </c>
      <c r="D82" s="4" t="str">
        <f t="shared" si="85"/>
        <v>AA0007</v>
      </c>
      <c r="E82" s="4" t="str">
        <f t="shared" si="86"/>
        <v>银河水星1号集合</v>
      </c>
      <c r="F82" s="4">
        <v>0</v>
      </c>
      <c r="G82" s="4">
        <v>8265</v>
      </c>
      <c r="H82" s="4">
        <v>0</v>
      </c>
      <c r="I82" s="4">
        <v>8265.05</v>
      </c>
      <c r="J82" s="4">
        <v>16665</v>
      </c>
      <c r="K82" s="4">
        <v>0</v>
      </c>
      <c r="L82" s="4" t="str">
        <f t="shared" si="74"/>
        <v>人民币</v>
      </c>
      <c r="N82" s="4" t="str">
        <f t="shared" si="87"/>
        <v>980149593788</v>
      </c>
      <c r="O82" s="4" t="str">
        <f t="shared" si="76"/>
        <v>300100052893</v>
      </c>
    </row>
    <row r="83" spans="1:15">
      <c r="A83" s="4" t="str">
        <f>"20210915"</f>
        <v>20210915</v>
      </c>
      <c r="B83" s="4" t="str">
        <f>"20210915"</f>
        <v>20210915</v>
      </c>
      <c r="C83" s="4" t="str">
        <f>"证券买入"</f>
        <v>证券买入</v>
      </c>
      <c r="D83" s="4" t="str">
        <f t="shared" si="82"/>
        <v>159781</v>
      </c>
      <c r="E83" s="4" t="str">
        <f t="shared" si="83"/>
        <v>科创创业</v>
      </c>
      <c r="F83" s="4">
        <v>0.839</v>
      </c>
      <c r="G83" s="4">
        <v>10000</v>
      </c>
      <c r="H83" s="4">
        <v>8390</v>
      </c>
      <c r="I83" s="4">
        <v>-8395</v>
      </c>
      <c r="J83" s="4">
        <v>8270</v>
      </c>
      <c r="K83" s="4">
        <v>20000</v>
      </c>
      <c r="L83" s="4" t="str">
        <f t="shared" si="74"/>
        <v>人民币</v>
      </c>
      <c r="M83" s="4" t="str">
        <f>"T4000308"</f>
        <v>T4000308</v>
      </c>
      <c r="N83" s="4" t="str">
        <f t="shared" si="84"/>
        <v>0149593788</v>
      </c>
      <c r="O83" s="4" t="str">
        <f t="shared" si="76"/>
        <v>300100052893</v>
      </c>
    </row>
    <row r="84" spans="1:15">
      <c r="A84" s="4" t="str">
        <f>"20210916"</f>
        <v>20210916</v>
      </c>
      <c r="B84" s="4" t="str">
        <f>"20210916"</f>
        <v>20210916</v>
      </c>
      <c r="C84" s="4" t="str">
        <f>"基金赎回拨入"</f>
        <v>基金赎回拨入</v>
      </c>
      <c r="D84" s="4" t="str">
        <f t="shared" si="85"/>
        <v>AA0007</v>
      </c>
      <c r="E84" s="4" t="str">
        <f t="shared" si="86"/>
        <v>银河水星1号集合</v>
      </c>
      <c r="F84" s="4">
        <v>0</v>
      </c>
      <c r="G84" s="4">
        <v>8145</v>
      </c>
      <c r="H84" s="4">
        <v>0</v>
      </c>
      <c r="I84" s="4">
        <v>8145.05</v>
      </c>
      <c r="J84" s="4">
        <v>16415</v>
      </c>
      <c r="K84" s="4">
        <v>0</v>
      </c>
      <c r="L84" s="4" t="str">
        <f t="shared" si="74"/>
        <v>人民币</v>
      </c>
      <c r="N84" s="4" t="str">
        <f t="shared" si="87"/>
        <v>980149593788</v>
      </c>
      <c r="O84" s="4" t="str">
        <f t="shared" si="76"/>
        <v>300100052893</v>
      </c>
    </row>
    <row r="85" spans="1:15">
      <c r="A85" s="4" t="str">
        <f>"20210916"</f>
        <v>20210916</v>
      </c>
      <c r="B85" s="4" t="str">
        <f>"20210916"</f>
        <v>20210916</v>
      </c>
      <c r="C85" s="4" t="str">
        <f>"证券买入"</f>
        <v>证券买入</v>
      </c>
      <c r="D85" s="4" t="str">
        <f>"159781"</f>
        <v>159781</v>
      </c>
      <c r="E85" s="4" t="str">
        <f>"科创创业"</f>
        <v>科创创业</v>
      </c>
      <c r="F85" s="4">
        <v>0.826</v>
      </c>
      <c r="G85" s="4">
        <v>10000</v>
      </c>
      <c r="H85" s="4">
        <v>8260</v>
      </c>
      <c r="I85" s="4">
        <v>-8265</v>
      </c>
      <c r="J85" s="4">
        <v>8150</v>
      </c>
      <c r="K85" s="4">
        <v>30000</v>
      </c>
      <c r="L85" s="4" t="str">
        <f t="shared" si="74"/>
        <v>人民币</v>
      </c>
      <c r="M85" s="4" t="str">
        <f>"T4000292"</f>
        <v>T4000292</v>
      </c>
      <c r="N85" s="4" t="str">
        <f>"0149593788"</f>
        <v>0149593788</v>
      </c>
      <c r="O85" s="4" t="str">
        <f t="shared" si="76"/>
        <v>300100052893</v>
      </c>
    </row>
    <row r="86" spans="1:15">
      <c r="A86" s="4" t="str">
        <f t="shared" ref="A86:A88" si="88">"20210917"</f>
        <v>20210917</v>
      </c>
      <c r="B86" s="4" t="str">
        <f t="shared" ref="B86:B88" si="89">"20210917"</f>
        <v>20210917</v>
      </c>
      <c r="C86" s="4" t="str">
        <f>"利息归本"</f>
        <v>利息归本</v>
      </c>
      <c r="F86" s="4">
        <v>0</v>
      </c>
      <c r="G86" s="4">
        <v>0</v>
      </c>
      <c r="H86" s="4">
        <v>0</v>
      </c>
      <c r="I86" s="4">
        <v>5.58</v>
      </c>
      <c r="J86" s="4">
        <v>8155.53</v>
      </c>
      <c r="K86" s="4">
        <v>0</v>
      </c>
      <c r="L86" s="4" t="str">
        <f t="shared" si="74"/>
        <v>人民币</v>
      </c>
      <c r="O86" s="4" t="str">
        <f t="shared" si="76"/>
        <v>300100052893</v>
      </c>
    </row>
    <row r="87" spans="1:15">
      <c r="A87" s="4" t="str">
        <f t="shared" si="88"/>
        <v>20210917</v>
      </c>
      <c r="B87" s="4" t="str">
        <f t="shared" si="89"/>
        <v>20210917</v>
      </c>
      <c r="C87" s="4" t="str">
        <f>"基金申购拨出"</f>
        <v>基金申购拨出</v>
      </c>
      <c r="D87" s="4" t="str">
        <f t="shared" ref="D87:D90" si="90">"AA0007"</f>
        <v>AA0007</v>
      </c>
      <c r="E87" s="4" t="str">
        <f t="shared" ref="E87:E90" si="91">"银河水星1号集合"</f>
        <v>银河水星1号集合</v>
      </c>
      <c r="F87" s="4">
        <v>0</v>
      </c>
      <c r="G87" s="4">
        <v>0</v>
      </c>
      <c r="H87" s="4">
        <v>0</v>
      </c>
      <c r="I87" s="4">
        <v>-8264.95</v>
      </c>
      <c r="J87" s="4">
        <v>-109.42</v>
      </c>
      <c r="K87" s="4">
        <v>0</v>
      </c>
      <c r="L87" s="4" t="str">
        <f t="shared" si="74"/>
        <v>人民币</v>
      </c>
      <c r="N87" s="4" t="str">
        <f t="shared" ref="N87:N90" si="92">"980149593788"</f>
        <v>980149593788</v>
      </c>
      <c r="O87" s="4" t="str">
        <f t="shared" si="76"/>
        <v>300100052893</v>
      </c>
    </row>
    <row r="88" spans="1:15">
      <c r="A88" s="4" t="str">
        <f t="shared" si="88"/>
        <v>20210917</v>
      </c>
      <c r="B88" s="4" t="str">
        <f t="shared" si="89"/>
        <v>20210917</v>
      </c>
      <c r="C88" s="4" t="str">
        <f>"证券卖出"</f>
        <v>证券卖出</v>
      </c>
      <c r="D88" s="4" t="str">
        <f>"159781"</f>
        <v>159781</v>
      </c>
      <c r="E88" s="4" t="str">
        <f>"科创创业"</f>
        <v>科创创业</v>
      </c>
      <c r="F88" s="4">
        <v>0.838</v>
      </c>
      <c r="G88" s="4">
        <v>10000</v>
      </c>
      <c r="H88" s="4">
        <v>8380</v>
      </c>
      <c r="I88" s="4">
        <v>8375</v>
      </c>
      <c r="J88" s="4">
        <v>8265.58</v>
      </c>
      <c r="K88" s="4">
        <v>20000</v>
      </c>
      <c r="L88" s="4" t="str">
        <f t="shared" si="74"/>
        <v>人民币</v>
      </c>
      <c r="M88" s="4" t="str">
        <f>"T4000372"</f>
        <v>T4000372</v>
      </c>
      <c r="N88" s="4" t="str">
        <f>"0149593788"</f>
        <v>0149593788</v>
      </c>
      <c r="O88" s="4" t="str">
        <f t="shared" si="76"/>
        <v>300100052893</v>
      </c>
    </row>
    <row r="89" spans="1:15">
      <c r="A89" s="4" t="str">
        <f t="shared" ref="A89:A91" si="93">"20210923"</f>
        <v>20210923</v>
      </c>
      <c r="B89" s="4" t="str">
        <f>"0"</f>
        <v>0</v>
      </c>
      <c r="C89" s="4" t="str">
        <f>"基金红利拨入"</f>
        <v>基金红利拨入</v>
      </c>
      <c r="D89" s="4" t="str">
        <f t="shared" si="90"/>
        <v>AA0007</v>
      </c>
      <c r="E89" s="4" t="str">
        <f t="shared" si="91"/>
        <v>银河水星1号集合</v>
      </c>
      <c r="F89" s="4">
        <v>0</v>
      </c>
      <c r="G89" s="4">
        <v>0</v>
      </c>
      <c r="H89" s="4">
        <v>146.86</v>
      </c>
      <c r="I89" s="4">
        <v>146.86</v>
      </c>
      <c r="J89" s="4">
        <v>8412.39</v>
      </c>
      <c r="K89" s="4">
        <v>0</v>
      </c>
      <c r="L89" s="4" t="str">
        <f t="shared" si="74"/>
        <v>人民币</v>
      </c>
      <c r="N89" s="4" t="str">
        <f t="shared" si="92"/>
        <v>980149593788</v>
      </c>
      <c r="O89" s="4" t="str">
        <f t="shared" si="76"/>
        <v>300100052893</v>
      </c>
    </row>
    <row r="90" spans="1:15">
      <c r="A90" s="4" t="str">
        <f t="shared" si="93"/>
        <v>20210923</v>
      </c>
      <c r="B90" s="4" t="str">
        <f>"20210923"</f>
        <v>20210923</v>
      </c>
      <c r="C90" s="4" t="str">
        <f>"基金申购拨出"</f>
        <v>基金申购拨出</v>
      </c>
      <c r="D90" s="4" t="str">
        <f t="shared" si="90"/>
        <v>AA0007</v>
      </c>
      <c r="E90" s="4" t="str">
        <f t="shared" si="91"/>
        <v>银河水星1号集合</v>
      </c>
      <c r="F90" s="4">
        <v>0</v>
      </c>
      <c r="G90" s="4">
        <v>0</v>
      </c>
      <c r="H90" s="4">
        <v>0</v>
      </c>
      <c r="I90" s="4">
        <v>-8380.53</v>
      </c>
      <c r="J90" s="4">
        <v>31.86</v>
      </c>
      <c r="K90" s="4">
        <v>0</v>
      </c>
      <c r="L90" s="4" t="str">
        <f t="shared" si="74"/>
        <v>人民币</v>
      </c>
      <c r="N90" s="4" t="str">
        <f t="shared" si="92"/>
        <v>980149593788</v>
      </c>
      <c r="O90" s="4" t="str">
        <f t="shared" si="76"/>
        <v>300100052893</v>
      </c>
    </row>
    <row r="91" spans="1:15">
      <c r="A91" s="4" t="str">
        <f t="shared" si="93"/>
        <v>20210923</v>
      </c>
      <c r="B91" s="4" t="str">
        <f>"20210923"</f>
        <v>20210923</v>
      </c>
      <c r="C91" s="4" t="str">
        <f>"证券卖出"</f>
        <v>证券卖出</v>
      </c>
      <c r="D91" s="4" t="str">
        <f>"159781"</f>
        <v>159781</v>
      </c>
      <c r="E91" s="4" t="str">
        <f>"科创创业"</f>
        <v>科创创业</v>
      </c>
      <c r="F91" s="4">
        <v>0.851</v>
      </c>
      <c r="G91" s="4">
        <v>10000</v>
      </c>
      <c r="H91" s="4">
        <v>8510</v>
      </c>
      <c r="I91" s="4">
        <v>8505</v>
      </c>
      <c r="J91" s="4">
        <v>8536.86</v>
      </c>
      <c r="K91" s="4">
        <v>10000</v>
      </c>
      <c r="L91" s="4" t="str">
        <f t="shared" si="74"/>
        <v>人民币</v>
      </c>
      <c r="M91" s="4" t="str">
        <f>"T4000290"</f>
        <v>T4000290</v>
      </c>
      <c r="N91" s="4" t="str">
        <f>"0149593788"</f>
        <v>0149593788</v>
      </c>
      <c r="O91" s="4" t="str">
        <f t="shared" si="76"/>
        <v>300100052893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B67"/>
  <sheetViews>
    <sheetView zoomScaleSheetLayoutView="60" workbookViewId="0">
      <selection activeCell="M49" sqref="M49"/>
    </sheetView>
  </sheetViews>
  <sheetFormatPr defaultColWidth="9" defaultRowHeight="13.5"/>
  <cols>
    <col min="1" max="16384" width="9" style="4"/>
  </cols>
  <sheetData>
    <row r="2" spans="1:28">
      <c r="A2" s="4" t="str">
        <f>"交收日期"</f>
        <v>交收日期</v>
      </c>
      <c r="B2" s="4" t="str">
        <f>"清算日期"</f>
        <v>清算日期</v>
      </c>
      <c r="C2" s="4" t="str">
        <f>"委托日期"</f>
        <v>委托日期</v>
      </c>
      <c r="D2" s="4" t="str">
        <f>"委托时间"</f>
        <v>委托时间</v>
      </c>
      <c r="E2" s="4" t="str">
        <f>"业务类型"</f>
        <v>业务类型</v>
      </c>
      <c r="F2" s="4" t="str">
        <f>"证券代码"</f>
        <v>证券代码</v>
      </c>
      <c r="G2" s="4" t="str">
        <f>"证券名称"</f>
        <v>证券名称</v>
      </c>
      <c r="H2" s="4" t="str">
        <f>"成交价格"</f>
        <v>成交价格</v>
      </c>
      <c r="I2" s="4" t="str">
        <f>"成交数量"</f>
        <v>成交数量</v>
      </c>
      <c r="J2" s="4" t="str">
        <f>"成交金额"</f>
        <v>成交金额</v>
      </c>
      <c r="K2" s="4" t="str">
        <f>"发生金额"</f>
        <v>发生金额</v>
      </c>
      <c r="L2" s="4" t="str">
        <f>"委托数量"</f>
        <v>委托数量</v>
      </c>
      <c r="M2" s="4" t="str">
        <f>"委托价格(港币)"</f>
        <v>委托价格(港币)</v>
      </c>
      <c r="N2" s="4" t="str">
        <f>"剩余金额"</f>
        <v>剩余金额</v>
      </c>
      <c r="O2" s="4" t="str">
        <f>"证券数量"</f>
        <v>证券数量</v>
      </c>
      <c r="P2" s="4" t="str">
        <f>"印花税"</f>
        <v>印花税</v>
      </c>
      <c r="Q2" s="4" t="str">
        <f>"手续费"</f>
        <v>手续费</v>
      </c>
      <c r="R2" s="4" t="str">
        <f>"股份交收费"</f>
        <v>股份交收费</v>
      </c>
      <c r="S2" s="4" t="str">
        <f>"交易费"</f>
        <v>交易费</v>
      </c>
      <c r="T2" s="4" t="str">
        <f>"前台费"</f>
        <v>前台费</v>
      </c>
      <c r="U2" s="4" t="str">
        <f>"交易系统使用费"</f>
        <v>交易系统使用费</v>
      </c>
      <c r="V2" s="4" t="str">
        <f>"交易征费"</f>
        <v>交易征费</v>
      </c>
      <c r="W2" s="4" t="str">
        <f>"其他费"</f>
        <v>其他费</v>
      </c>
      <c r="X2" s="4" t="str">
        <f>"结算汇率"</f>
        <v>结算汇率</v>
      </c>
      <c r="Y2" s="4" t="str">
        <f>"协议编号"</f>
        <v>协议编号</v>
      </c>
      <c r="Z2" s="4" t="str">
        <f>"成交时间"</f>
        <v>成交时间</v>
      </c>
      <c r="AA2" s="4" t="str">
        <f>"币种"</f>
        <v>币种</v>
      </c>
      <c r="AB2" s="4" t="str">
        <f>"股东代码"</f>
        <v>股东代码</v>
      </c>
    </row>
    <row r="3" spans="1:28">
      <c r="A3" s="4" t="str">
        <f>"20210702"</f>
        <v>20210702</v>
      </c>
      <c r="B3" s="4" t="str">
        <f>"20210702"</f>
        <v>20210702</v>
      </c>
      <c r="C3" s="4" t="str">
        <f t="shared" ref="C3:C30" si="0">"0"</f>
        <v>0</v>
      </c>
      <c r="D3" s="4" t="str">
        <f t="shared" ref="D3:D46" si="1">"00:00:00"</f>
        <v>00:00:00</v>
      </c>
      <c r="E3" s="4" t="str">
        <f t="shared" ref="E3:E30" si="2">"港股通组合费"</f>
        <v>港股通组合费</v>
      </c>
      <c r="F3" s="4" t="str">
        <f t="shared" ref="F3:F30" si="3">""</f>
        <v/>
      </c>
      <c r="G3" s="4" t="str">
        <f t="shared" ref="G3:G30" si="4">""</f>
        <v/>
      </c>
      <c r="H3" s="4" t="str">
        <f t="shared" ref="H3:H30" si="5">"0.00"</f>
        <v>0.00</v>
      </c>
      <c r="I3" s="4" t="str">
        <f t="shared" ref="I3:I30" si="6">"0"</f>
        <v>0</v>
      </c>
      <c r="J3" s="4" t="str">
        <f>"0.10"</f>
        <v>0.10</v>
      </c>
      <c r="K3" s="4" t="str">
        <f>"-0.10"</f>
        <v>-0.10</v>
      </c>
      <c r="L3" s="4" t="str">
        <f t="shared" ref="L3:W3" si="7">"0.00"</f>
        <v>0.00</v>
      </c>
      <c r="M3" s="4" t="str">
        <f t="shared" ref="M3:M46" si="8">"0.000"</f>
        <v>0.000</v>
      </c>
      <c r="N3" s="4" t="str">
        <f>"4.90"</f>
        <v>4.90</v>
      </c>
      <c r="O3" s="4" t="str">
        <f t="shared" ref="O3:O30" si="9">"0"</f>
        <v>0</v>
      </c>
      <c r="P3" s="4" t="str">
        <f t="shared" si="7"/>
        <v>0.00</v>
      </c>
      <c r="Q3" s="4" t="str">
        <f t="shared" si="7"/>
        <v>0.00</v>
      </c>
      <c r="R3" s="4" t="str">
        <f t="shared" si="7"/>
        <v>0.00</v>
      </c>
      <c r="S3" s="4" t="str">
        <f t="shared" si="7"/>
        <v>0.00</v>
      </c>
      <c r="T3" s="4" t="str">
        <f t="shared" si="7"/>
        <v>0.00</v>
      </c>
      <c r="U3" s="4" t="str">
        <f t="shared" si="7"/>
        <v>0.00</v>
      </c>
      <c r="V3" s="4" t="str">
        <f t="shared" si="7"/>
        <v>0.00</v>
      </c>
      <c r="W3" s="4" t="str">
        <f t="shared" si="7"/>
        <v>0.00</v>
      </c>
      <c r="X3" s="4" t="str">
        <f t="shared" ref="X3:X30" si="10">"0.00000"</f>
        <v>0.00000</v>
      </c>
      <c r="Y3" s="4" t="str">
        <f t="shared" ref="Y3:Y30" si="11">"0"</f>
        <v>0</v>
      </c>
      <c r="Z3" s="4" t="str">
        <f t="shared" ref="Z3:Z46" si="12">"0"</f>
        <v>0</v>
      </c>
      <c r="AA3" s="4" t="str">
        <f t="shared" ref="AA3:AA66" si="13">"人民币"</f>
        <v>人民币</v>
      </c>
      <c r="AB3" s="4" t="str">
        <f t="shared" ref="AB3:AB66" si="14">"A368402599"</f>
        <v>A368402599</v>
      </c>
    </row>
    <row r="4" spans="1:28">
      <c r="A4" s="4" t="str">
        <f>"20210705"</f>
        <v>20210705</v>
      </c>
      <c r="B4" s="4" t="str">
        <f>"20210705"</f>
        <v>20210705</v>
      </c>
      <c r="C4" s="4" t="str">
        <f t="shared" si="0"/>
        <v>0</v>
      </c>
      <c r="D4" s="4" t="str">
        <f t="shared" si="1"/>
        <v>00:00:00</v>
      </c>
      <c r="E4" s="4" t="str">
        <f t="shared" si="2"/>
        <v>港股通组合费</v>
      </c>
      <c r="F4" s="4" t="str">
        <f t="shared" si="3"/>
        <v/>
      </c>
      <c r="G4" s="4" t="str">
        <f t="shared" si="4"/>
        <v/>
      </c>
      <c r="H4" s="4" t="str">
        <f t="shared" si="5"/>
        <v>0.00</v>
      </c>
      <c r="I4" s="4" t="str">
        <f t="shared" si="6"/>
        <v>0</v>
      </c>
      <c r="J4" s="4" t="str">
        <f>"0.15"</f>
        <v>0.15</v>
      </c>
      <c r="K4" s="4" t="str">
        <f>"-0.15"</f>
        <v>-0.15</v>
      </c>
      <c r="L4" s="4" t="str">
        <f t="shared" ref="L4:W4" si="15">"0.00"</f>
        <v>0.00</v>
      </c>
      <c r="M4" s="4" t="str">
        <f t="shared" si="8"/>
        <v>0.000</v>
      </c>
      <c r="N4" s="4" t="str">
        <f>"4.85"</f>
        <v>4.85</v>
      </c>
      <c r="O4" s="4" t="str">
        <f t="shared" si="9"/>
        <v>0</v>
      </c>
      <c r="P4" s="4" t="str">
        <f t="shared" si="15"/>
        <v>0.00</v>
      </c>
      <c r="Q4" s="4" t="str">
        <f t="shared" si="15"/>
        <v>0.00</v>
      </c>
      <c r="R4" s="4" t="str">
        <f t="shared" si="15"/>
        <v>0.00</v>
      </c>
      <c r="S4" s="4" t="str">
        <f t="shared" si="15"/>
        <v>0.00</v>
      </c>
      <c r="T4" s="4" t="str">
        <f t="shared" si="15"/>
        <v>0.00</v>
      </c>
      <c r="U4" s="4" t="str">
        <f t="shared" si="15"/>
        <v>0.00</v>
      </c>
      <c r="V4" s="4" t="str">
        <f t="shared" si="15"/>
        <v>0.00</v>
      </c>
      <c r="W4" s="4" t="str">
        <f t="shared" si="15"/>
        <v>0.00</v>
      </c>
      <c r="X4" s="4" t="str">
        <f t="shared" si="10"/>
        <v>0.00000</v>
      </c>
      <c r="Y4" s="4" t="str">
        <f t="shared" si="11"/>
        <v>0</v>
      </c>
      <c r="Z4" s="4" t="str">
        <f t="shared" si="12"/>
        <v>0</v>
      </c>
      <c r="AA4" s="4" t="str">
        <f t="shared" si="13"/>
        <v>人民币</v>
      </c>
      <c r="AB4" s="4" t="str">
        <f t="shared" si="14"/>
        <v>A368402599</v>
      </c>
    </row>
    <row r="5" spans="1:28">
      <c r="A5" s="4" t="str">
        <f>"20210706"</f>
        <v>20210706</v>
      </c>
      <c r="B5" s="4" t="str">
        <f>"20210706"</f>
        <v>20210706</v>
      </c>
      <c r="C5" s="4" t="str">
        <f t="shared" si="0"/>
        <v>0</v>
      </c>
      <c r="D5" s="4" t="str">
        <f t="shared" si="1"/>
        <v>00:00:00</v>
      </c>
      <c r="E5" s="4" t="str">
        <f t="shared" si="2"/>
        <v>港股通组合费</v>
      </c>
      <c r="F5" s="4" t="str">
        <f t="shared" si="3"/>
        <v/>
      </c>
      <c r="G5" s="4" t="str">
        <f t="shared" si="4"/>
        <v/>
      </c>
      <c r="H5" s="4" t="str">
        <f t="shared" si="5"/>
        <v>0.00</v>
      </c>
      <c r="I5" s="4" t="str">
        <f t="shared" si="6"/>
        <v>0</v>
      </c>
      <c r="J5" s="4" t="str">
        <f t="shared" ref="J5:J7" si="16">"0.05"</f>
        <v>0.05</v>
      </c>
      <c r="K5" s="4" t="str">
        <f t="shared" ref="K5:K7" si="17">"-0.05"</f>
        <v>-0.05</v>
      </c>
      <c r="L5" s="4" t="str">
        <f t="shared" ref="L5:W5" si="18">"0.00"</f>
        <v>0.00</v>
      </c>
      <c r="M5" s="4" t="str">
        <f t="shared" si="8"/>
        <v>0.000</v>
      </c>
      <c r="N5" s="4" t="str">
        <f>"4.95"</f>
        <v>4.95</v>
      </c>
      <c r="O5" s="4" t="str">
        <f t="shared" si="9"/>
        <v>0</v>
      </c>
      <c r="P5" s="4" t="str">
        <f t="shared" si="18"/>
        <v>0.00</v>
      </c>
      <c r="Q5" s="4" t="str">
        <f t="shared" si="18"/>
        <v>0.00</v>
      </c>
      <c r="R5" s="4" t="str">
        <f t="shared" si="18"/>
        <v>0.00</v>
      </c>
      <c r="S5" s="4" t="str">
        <f t="shared" si="18"/>
        <v>0.00</v>
      </c>
      <c r="T5" s="4" t="str">
        <f t="shared" si="18"/>
        <v>0.00</v>
      </c>
      <c r="U5" s="4" t="str">
        <f t="shared" si="18"/>
        <v>0.00</v>
      </c>
      <c r="V5" s="4" t="str">
        <f t="shared" si="18"/>
        <v>0.00</v>
      </c>
      <c r="W5" s="4" t="str">
        <f t="shared" si="18"/>
        <v>0.00</v>
      </c>
      <c r="X5" s="4" t="str">
        <f t="shared" si="10"/>
        <v>0.00000</v>
      </c>
      <c r="Y5" s="4" t="str">
        <f t="shared" si="11"/>
        <v>0</v>
      </c>
      <c r="Z5" s="4" t="str">
        <f t="shared" si="12"/>
        <v>0</v>
      </c>
      <c r="AA5" s="4" t="str">
        <f t="shared" si="13"/>
        <v>人民币</v>
      </c>
      <c r="AB5" s="4" t="str">
        <f t="shared" si="14"/>
        <v>A368402599</v>
      </c>
    </row>
    <row r="6" spans="1:28">
      <c r="A6" s="4" t="str">
        <f>"20210707"</f>
        <v>20210707</v>
      </c>
      <c r="B6" s="4" t="str">
        <f>"20210707"</f>
        <v>20210707</v>
      </c>
      <c r="C6" s="4" t="str">
        <f t="shared" si="0"/>
        <v>0</v>
      </c>
      <c r="D6" s="4" t="str">
        <f t="shared" si="1"/>
        <v>00:00:00</v>
      </c>
      <c r="E6" s="4" t="str">
        <f t="shared" si="2"/>
        <v>港股通组合费</v>
      </c>
      <c r="F6" s="4" t="str">
        <f t="shared" si="3"/>
        <v/>
      </c>
      <c r="G6" s="4" t="str">
        <f t="shared" si="4"/>
        <v/>
      </c>
      <c r="H6" s="4" t="str">
        <f t="shared" si="5"/>
        <v>0.00</v>
      </c>
      <c r="I6" s="4" t="str">
        <f t="shared" si="6"/>
        <v>0</v>
      </c>
      <c r="J6" s="4" t="str">
        <f t="shared" si="16"/>
        <v>0.05</v>
      </c>
      <c r="K6" s="4" t="str">
        <f t="shared" si="17"/>
        <v>-0.05</v>
      </c>
      <c r="L6" s="4" t="str">
        <f t="shared" ref="L6:W6" si="19">"0.00"</f>
        <v>0.00</v>
      </c>
      <c r="M6" s="4" t="str">
        <f t="shared" si="8"/>
        <v>0.000</v>
      </c>
      <c r="N6" s="4" t="str">
        <f>"10321.95"</f>
        <v>10321.95</v>
      </c>
      <c r="O6" s="4" t="str">
        <f t="shared" si="9"/>
        <v>0</v>
      </c>
      <c r="P6" s="4" t="str">
        <f t="shared" si="19"/>
        <v>0.00</v>
      </c>
      <c r="Q6" s="4" t="str">
        <f t="shared" si="19"/>
        <v>0.00</v>
      </c>
      <c r="R6" s="4" t="str">
        <f t="shared" si="19"/>
        <v>0.00</v>
      </c>
      <c r="S6" s="4" t="str">
        <f t="shared" si="19"/>
        <v>0.00</v>
      </c>
      <c r="T6" s="4" t="str">
        <f t="shared" si="19"/>
        <v>0.00</v>
      </c>
      <c r="U6" s="4" t="str">
        <f t="shared" si="19"/>
        <v>0.00</v>
      </c>
      <c r="V6" s="4" t="str">
        <f t="shared" si="19"/>
        <v>0.00</v>
      </c>
      <c r="W6" s="4" t="str">
        <f t="shared" si="19"/>
        <v>0.00</v>
      </c>
      <c r="X6" s="4" t="str">
        <f t="shared" si="10"/>
        <v>0.00000</v>
      </c>
      <c r="Y6" s="4" t="str">
        <f t="shared" si="11"/>
        <v>0</v>
      </c>
      <c r="Z6" s="4" t="str">
        <f t="shared" si="12"/>
        <v>0</v>
      </c>
      <c r="AA6" s="4" t="str">
        <f t="shared" si="13"/>
        <v>人民币</v>
      </c>
      <c r="AB6" s="4" t="str">
        <f t="shared" si="14"/>
        <v>A368402599</v>
      </c>
    </row>
    <row r="7" spans="1:28">
      <c r="A7" s="4" t="str">
        <f>"20210708"</f>
        <v>20210708</v>
      </c>
      <c r="B7" s="4" t="str">
        <f>"20210708"</f>
        <v>20210708</v>
      </c>
      <c r="C7" s="4" t="str">
        <f t="shared" si="0"/>
        <v>0</v>
      </c>
      <c r="D7" s="4" t="str">
        <f t="shared" si="1"/>
        <v>00:00:00</v>
      </c>
      <c r="E7" s="4" t="str">
        <f t="shared" si="2"/>
        <v>港股通组合费</v>
      </c>
      <c r="F7" s="4" t="str">
        <f t="shared" si="3"/>
        <v/>
      </c>
      <c r="G7" s="4" t="str">
        <f t="shared" si="4"/>
        <v/>
      </c>
      <c r="H7" s="4" t="str">
        <f t="shared" si="5"/>
        <v>0.00</v>
      </c>
      <c r="I7" s="4" t="str">
        <f t="shared" si="6"/>
        <v>0</v>
      </c>
      <c r="J7" s="4" t="str">
        <f t="shared" si="16"/>
        <v>0.05</v>
      </c>
      <c r="K7" s="4" t="str">
        <f t="shared" si="17"/>
        <v>-0.05</v>
      </c>
      <c r="L7" s="4" t="str">
        <f t="shared" ref="L7:W7" si="20">"0.00"</f>
        <v>0.00</v>
      </c>
      <c r="M7" s="4" t="str">
        <f t="shared" si="8"/>
        <v>0.000</v>
      </c>
      <c r="N7" s="4" t="str">
        <f>"4.95"</f>
        <v>4.95</v>
      </c>
      <c r="O7" s="4" t="str">
        <f t="shared" si="9"/>
        <v>0</v>
      </c>
      <c r="P7" s="4" t="str">
        <f t="shared" si="20"/>
        <v>0.00</v>
      </c>
      <c r="Q7" s="4" t="str">
        <f t="shared" si="20"/>
        <v>0.00</v>
      </c>
      <c r="R7" s="4" t="str">
        <f t="shared" si="20"/>
        <v>0.00</v>
      </c>
      <c r="S7" s="4" t="str">
        <f t="shared" si="20"/>
        <v>0.00</v>
      </c>
      <c r="T7" s="4" t="str">
        <f t="shared" si="20"/>
        <v>0.00</v>
      </c>
      <c r="U7" s="4" t="str">
        <f t="shared" si="20"/>
        <v>0.00</v>
      </c>
      <c r="V7" s="4" t="str">
        <f t="shared" si="20"/>
        <v>0.00</v>
      </c>
      <c r="W7" s="4" t="str">
        <f t="shared" si="20"/>
        <v>0.00</v>
      </c>
      <c r="X7" s="4" t="str">
        <f t="shared" si="10"/>
        <v>0.00000</v>
      </c>
      <c r="Y7" s="4" t="str">
        <f t="shared" si="11"/>
        <v>0</v>
      </c>
      <c r="Z7" s="4" t="str">
        <f t="shared" si="12"/>
        <v>0</v>
      </c>
      <c r="AA7" s="4" t="str">
        <f t="shared" si="13"/>
        <v>人民币</v>
      </c>
      <c r="AB7" s="4" t="str">
        <f t="shared" si="14"/>
        <v>A368402599</v>
      </c>
    </row>
    <row r="8" spans="1:28">
      <c r="A8" s="4" t="str">
        <f>"20210709"</f>
        <v>20210709</v>
      </c>
      <c r="B8" s="4" t="str">
        <f>"20210709"</f>
        <v>20210709</v>
      </c>
      <c r="C8" s="4" t="str">
        <f t="shared" si="0"/>
        <v>0</v>
      </c>
      <c r="D8" s="4" t="str">
        <f t="shared" si="1"/>
        <v>00:00:00</v>
      </c>
      <c r="E8" s="4" t="str">
        <f t="shared" si="2"/>
        <v>港股通组合费</v>
      </c>
      <c r="F8" s="4" t="str">
        <f t="shared" si="3"/>
        <v/>
      </c>
      <c r="G8" s="4" t="str">
        <f t="shared" si="4"/>
        <v/>
      </c>
      <c r="H8" s="4" t="str">
        <f t="shared" si="5"/>
        <v>0.00</v>
      </c>
      <c r="I8" s="4" t="str">
        <f t="shared" si="6"/>
        <v>0</v>
      </c>
      <c r="J8" s="4" t="str">
        <f>"0.04"</f>
        <v>0.04</v>
      </c>
      <c r="K8" s="4" t="str">
        <f>"-0.04"</f>
        <v>-0.04</v>
      </c>
      <c r="L8" s="4" t="str">
        <f t="shared" ref="L8:W8" si="21">"0.00"</f>
        <v>0.00</v>
      </c>
      <c r="M8" s="4" t="str">
        <f t="shared" si="8"/>
        <v>0.000</v>
      </c>
      <c r="N8" s="4" t="str">
        <f>"4.96"</f>
        <v>4.96</v>
      </c>
      <c r="O8" s="4" t="str">
        <f t="shared" si="9"/>
        <v>0</v>
      </c>
      <c r="P8" s="4" t="str">
        <f t="shared" si="21"/>
        <v>0.00</v>
      </c>
      <c r="Q8" s="4" t="str">
        <f t="shared" si="21"/>
        <v>0.00</v>
      </c>
      <c r="R8" s="4" t="str">
        <f t="shared" si="21"/>
        <v>0.00</v>
      </c>
      <c r="S8" s="4" t="str">
        <f t="shared" si="21"/>
        <v>0.00</v>
      </c>
      <c r="T8" s="4" t="str">
        <f t="shared" si="21"/>
        <v>0.00</v>
      </c>
      <c r="U8" s="4" t="str">
        <f t="shared" si="21"/>
        <v>0.00</v>
      </c>
      <c r="V8" s="4" t="str">
        <f t="shared" si="21"/>
        <v>0.00</v>
      </c>
      <c r="W8" s="4" t="str">
        <f t="shared" si="21"/>
        <v>0.00</v>
      </c>
      <c r="X8" s="4" t="str">
        <f t="shared" si="10"/>
        <v>0.00000</v>
      </c>
      <c r="Y8" s="4" t="str">
        <f t="shared" si="11"/>
        <v>0</v>
      </c>
      <c r="Z8" s="4" t="str">
        <f t="shared" si="12"/>
        <v>0</v>
      </c>
      <c r="AA8" s="4" t="str">
        <f t="shared" si="13"/>
        <v>人民币</v>
      </c>
      <c r="AB8" s="4" t="str">
        <f t="shared" si="14"/>
        <v>A368402599</v>
      </c>
    </row>
    <row r="9" spans="1:28">
      <c r="A9" s="4" t="str">
        <f>"20210712"</f>
        <v>20210712</v>
      </c>
      <c r="B9" s="4" t="str">
        <f>"20210712"</f>
        <v>20210712</v>
      </c>
      <c r="C9" s="4" t="str">
        <f t="shared" si="0"/>
        <v>0</v>
      </c>
      <c r="D9" s="4" t="str">
        <f t="shared" si="1"/>
        <v>00:00:00</v>
      </c>
      <c r="E9" s="4" t="str">
        <f t="shared" si="2"/>
        <v>港股通组合费</v>
      </c>
      <c r="F9" s="4" t="str">
        <f t="shared" si="3"/>
        <v/>
      </c>
      <c r="G9" s="4" t="str">
        <f t="shared" si="4"/>
        <v/>
      </c>
      <c r="H9" s="4" t="str">
        <f t="shared" si="5"/>
        <v>0.00</v>
      </c>
      <c r="I9" s="4" t="str">
        <f t="shared" si="6"/>
        <v>0</v>
      </c>
      <c r="J9" s="4" t="str">
        <f>"0.13"</f>
        <v>0.13</v>
      </c>
      <c r="K9" s="4" t="str">
        <f>"-0.13"</f>
        <v>-0.13</v>
      </c>
      <c r="L9" s="4" t="str">
        <f t="shared" ref="L9:W9" si="22">"0.00"</f>
        <v>0.00</v>
      </c>
      <c r="M9" s="4" t="str">
        <f t="shared" si="8"/>
        <v>0.000</v>
      </c>
      <c r="N9" s="4" t="str">
        <f>"4.87"</f>
        <v>4.87</v>
      </c>
      <c r="O9" s="4" t="str">
        <f t="shared" si="9"/>
        <v>0</v>
      </c>
      <c r="P9" s="4" t="str">
        <f t="shared" si="22"/>
        <v>0.00</v>
      </c>
      <c r="Q9" s="4" t="str">
        <f t="shared" si="22"/>
        <v>0.00</v>
      </c>
      <c r="R9" s="4" t="str">
        <f t="shared" si="22"/>
        <v>0.00</v>
      </c>
      <c r="S9" s="4" t="str">
        <f t="shared" si="22"/>
        <v>0.00</v>
      </c>
      <c r="T9" s="4" t="str">
        <f t="shared" si="22"/>
        <v>0.00</v>
      </c>
      <c r="U9" s="4" t="str">
        <f t="shared" si="22"/>
        <v>0.00</v>
      </c>
      <c r="V9" s="4" t="str">
        <f t="shared" si="22"/>
        <v>0.00</v>
      </c>
      <c r="W9" s="4" t="str">
        <f t="shared" si="22"/>
        <v>0.00</v>
      </c>
      <c r="X9" s="4" t="str">
        <f t="shared" si="10"/>
        <v>0.00000</v>
      </c>
      <c r="Y9" s="4" t="str">
        <f t="shared" si="11"/>
        <v>0</v>
      </c>
      <c r="Z9" s="4" t="str">
        <f t="shared" si="12"/>
        <v>0</v>
      </c>
      <c r="AA9" s="4" t="str">
        <f t="shared" si="13"/>
        <v>人民币</v>
      </c>
      <c r="AB9" s="4" t="str">
        <f t="shared" si="14"/>
        <v>A368402599</v>
      </c>
    </row>
    <row r="10" spans="1:28">
      <c r="A10" s="4" t="str">
        <f>"20210713"</f>
        <v>20210713</v>
      </c>
      <c r="B10" s="4" t="str">
        <f>"20210713"</f>
        <v>20210713</v>
      </c>
      <c r="C10" s="4" t="str">
        <f t="shared" si="0"/>
        <v>0</v>
      </c>
      <c r="D10" s="4" t="str">
        <f t="shared" si="1"/>
        <v>00:00:00</v>
      </c>
      <c r="E10" s="4" t="str">
        <f t="shared" si="2"/>
        <v>港股通组合费</v>
      </c>
      <c r="F10" s="4" t="str">
        <f t="shared" si="3"/>
        <v/>
      </c>
      <c r="G10" s="4" t="str">
        <f t="shared" si="4"/>
        <v/>
      </c>
      <c r="H10" s="4" t="str">
        <f t="shared" si="5"/>
        <v>0.00</v>
      </c>
      <c r="I10" s="4" t="str">
        <f t="shared" si="6"/>
        <v>0</v>
      </c>
      <c r="J10" s="4" t="str">
        <f>"0.04"</f>
        <v>0.04</v>
      </c>
      <c r="K10" s="4" t="str">
        <f>"-0.04"</f>
        <v>-0.04</v>
      </c>
      <c r="L10" s="4" t="str">
        <f t="shared" ref="L10:W10" si="23">"0.00"</f>
        <v>0.00</v>
      </c>
      <c r="M10" s="4" t="str">
        <f t="shared" si="8"/>
        <v>0.000</v>
      </c>
      <c r="N10" s="4" t="str">
        <f>"4.96"</f>
        <v>4.96</v>
      </c>
      <c r="O10" s="4" t="str">
        <f t="shared" si="9"/>
        <v>0</v>
      </c>
      <c r="P10" s="4" t="str">
        <f t="shared" si="23"/>
        <v>0.00</v>
      </c>
      <c r="Q10" s="4" t="str">
        <f t="shared" si="23"/>
        <v>0.00</v>
      </c>
      <c r="R10" s="4" t="str">
        <f t="shared" si="23"/>
        <v>0.00</v>
      </c>
      <c r="S10" s="4" t="str">
        <f t="shared" si="23"/>
        <v>0.00</v>
      </c>
      <c r="T10" s="4" t="str">
        <f t="shared" si="23"/>
        <v>0.00</v>
      </c>
      <c r="U10" s="4" t="str">
        <f t="shared" si="23"/>
        <v>0.00</v>
      </c>
      <c r="V10" s="4" t="str">
        <f t="shared" si="23"/>
        <v>0.00</v>
      </c>
      <c r="W10" s="4" t="str">
        <f t="shared" si="23"/>
        <v>0.00</v>
      </c>
      <c r="X10" s="4" t="str">
        <f t="shared" si="10"/>
        <v>0.00000</v>
      </c>
      <c r="Y10" s="4" t="str">
        <f t="shared" si="11"/>
        <v>0</v>
      </c>
      <c r="Z10" s="4" t="str">
        <f t="shared" si="12"/>
        <v>0</v>
      </c>
      <c r="AA10" s="4" t="str">
        <f t="shared" si="13"/>
        <v>人民币</v>
      </c>
      <c r="AB10" s="4" t="str">
        <f t="shared" si="14"/>
        <v>A368402599</v>
      </c>
    </row>
    <row r="11" spans="1:28">
      <c r="A11" s="4" t="str">
        <f>"20210714"</f>
        <v>20210714</v>
      </c>
      <c r="B11" s="4" t="str">
        <f>"20210714"</f>
        <v>20210714</v>
      </c>
      <c r="C11" s="4" t="str">
        <f t="shared" si="0"/>
        <v>0</v>
      </c>
      <c r="D11" s="4" t="str">
        <f t="shared" si="1"/>
        <v>00:00:00</v>
      </c>
      <c r="E11" s="4" t="str">
        <f t="shared" si="2"/>
        <v>港股通组合费</v>
      </c>
      <c r="F11" s="4" t="str">
        <f t="shared" si="3"/>
        <v/>
      </c>
      <c r="G11" s="4" t="str">
        <f t="shared" si="4"/>
        <v/>
      </c>
      <c r="H11" s="4" t="str">
        <f t="shared" si="5"/>
        <v>0.00</v>
      </c>
      <c r="I11" s="4" t="str">
        <f t="shared" si="6"/>
        <v>0</v>
      </c>
      <c r="J11" s="4" t="str">
        <f t="shared" ref="J11:J13" si="24">"0.05"</f>
        <v>0.05</v>
      </c>
      <c r="K11" s="4" t="str">
        <f t="shared" ref="K11:K13" si="25">"-0.05"</f>
        <v>-0.05</v>
      </c>
      <c r="L11" s="4" t="str">
        <f t="shared" ref="L11:W11" si="26">"0.00"</f>
        <v>0.00</v>
      </c>
      <c r="M11" s="4" t="str">
        <f t="shared" si="8"/>
        <v>0.000</v>
      </c>
      <c r="N11" s="4" t="str">
        <f>"70.95"</f>
        <v>70.95</v>
      </c>
      <c r="O11" s="4" t="str">
        <f t="shared" si="9"/>
        <v>0</v>
      </c>
      <c r="P11" s="4" t="str">
        <f t="shared" si="26"/>
        <v>0.00</v>
      </c>
      <c r="Q11" s="4" t="str">
        <f t="shared" si="26"/>
        <v>0.00</v>
      </c>
      <c r="R11" s="4" t="str">
        <f t="shared" si="26"/>
        <v>0.00</v>
      </c>
      <c r="S11" s="4" t="str">
        <f t="shared" si="26"/>
        <v>0.00</v>
      </c>
      <c r="T11" s="4" t="str">
        <f t="shared" si="26"/>
        <v>0.00</v>
      </c>
      <c r="U11" s="4" t="str">
        <f t="shared" si="26"/>
        <v>0.00</v>
      </c>
      <c r="V11" s="4" t="str">
        <f t="shared" si="26"/>
        <v>0.00</v>
      </c>
      <c r="W11" s="4" t="str">
        <f t="shared" si="26"/>
        <v>0.00</v>
      </c>
      <c r="X11" s="4" t="str">
        <f t="shared" si="10"/>
        <v>0.00000</v>
      </c>
      <c r="Y11" s="4" t="str">
        <f t="shared" si="11"/>
        <v>0</v>
      </c>
      <c r="Z11" s="4" t="str">
        <f t="shared" si="12"/>
        <v>0</v>
      </c>
      <c r="AA11" s="4" t="str">
        <f t="shared" si="13"/>
        <v>人民币</v>
      </c>
      <c r="AB11" s="4" t="str">
        <f t="shared" si="14"/>
        <v>A368402599</v>
      </c>
    </row>
    <row r="12" spans="1:28">
      <c r="A12" s="4" t="str">
        <f>"20210715"</f>
        <v>20210715</v>
      </c>
      <c r="B12" s="4" t="str">
        <f>"20210715"</f>
        <v>20210715</v>
      </c>
      <c r="C12" s="4" t="str">
        <f t="shared" si="0"/>
        <v>0</v>
      </c>
      <c r="D12" s="4" t="str">
        <f t="shared" si="1"/>
        <v>00:00:00</v>
      </c>
      <c r="E12" s="4" t="str">
        <f t="shared" si="2"/>
        <v>港股通组合费</v>
      </c>
      <c r="F12" s="4" t="str">
        <f t="shared" si="3"/>
        <v/>
      </c>
      <c r="G12" s="4" t="str">
        <f t="shared" si="4"/>
        <v/>
      </c>
      <c r="H12" s="4" t="str">
        <f t="shared" si="5"/>
        <v>0.00</v>
      </c>
      <c r="I12" s="4" t="str">
        <f t="shared" si="6"/>
        <v>0</v>
      </c>
      <c r="J12" s="4" t="str">
        <f t="shared" si="24"/>
        <v>0.05</v>
      </c>
      <c r="K12" s="4" t="str">
        <f t="shared" si="25"/>
        <v>-0.05</v>
      </c>
      <c r="L12" s="4" t="str">
        <f t="shared" ref="L12:W12" si="27">"0.00"</f>
        <v>0.00</v>
      </c>
      <c r="M12" s="4" t="str">
        <f t="shared" si="8"/>
        <v>0.000</v>
      </c>
      <c r="N12" s="4" t="str">
        <f>"70.90"</f>
        <v>70.90</v>
      </c>
      <c r="O12" s="4" t="str">
        <f t="shared" si="9"/>
        <v>0</v>
      </c>
      <c r="P12" s="4" t="str">
        <f t="shared" si="27"/>
        <v>0.00</v>
      </c>
      <c r="Q12" s="4" t="str">
        <f t="shared" si="27"/>
        <v>0.00</v>
      </c>
      <c r="R12" s="4" t="str">
        <f t="shared" si="27"/>
        <v>0.00</v>
      </c>
      <c r="S12" s="4" t="str">
        <f t="shared" si="27"/>
        <v>0.00</v>
      </c>
      <c r="T12" s="4" t="str">
        <f t="shared" si="27"/>
        <v>0.00</v>
      </c>
      <c r="U12" s="4" t="str">
        <f t="shared" si="27"/>
        <v>0.00</v>
      </c>
      <c r="V12" s="4" t="str">
        <f t="shared" si="27"/>
        <v>0.00</v>
      </c>
      <c r="W12" s="4" t="str">
        <f t="shared" si="27"/>
        <v>0.00</v>
      </c>
      <c r="X12" s="4" t="str">
        <f t="shared" si="10"/>
        <v>0.00000</v>
      </c>
      <c r="Y12" s="4" t="str">
        <f t="shared" si="11"/>
        <v>0</v>
      </c>
      <c r="Z12" s="4" t="str">
        <f t="shared" si="12"/>
        <v>0</v>
      </c>
      <c r="AA12" s="4" t="str">
        <f t="shared" si="13"/>
        <v>人民币</v>
      </c>
      <c r="AB12" s="4" t="str">
        <f t="shared" si="14"/>
        <v>A368402599</v>
      </c>
    </row>
    <row r="13" spans="1:28">
      <c r="A13" s="4" t="str">
        <f>"20210716"</f>
        <v>20210716</v>
      </c>
      <c r="B13" s="4" t="str">
        <f>"20210716"</f>
        <v>20210716</v>
      </c>
      <c r="C13" s="4" t="str">
        <f t="shared" si="0"/>
        <v>0</v>
      </c>
      <c r="D13" s="4" t="str">
        <f t="shared" si="1"/>
        <v>00:00:00</v>
      </c>
      <c r="E13" s="4" t="str">
        <f t="shared" si="2"/>
        <v>港股通组合费</v>
      </c>
      <c r="F13" s="4" t="str">
        <f t="shared" si="3"/>
        <v/>
      </c>
      <c r="G13" s="4" t="str">
        <f t="shared" si="4"/>
        <v/>
      </c>
      <c r="H13" s="4" t="str">
        <f t="shared" si="5"/>
        <v>0.00</v>
      </c>
      <c r="I13" s="4" t="str">
        <f t="shared" si="6"/>
        <v>0</v>
      </c>
      <c r="J13" s="4" t="str">
        <f t="shared" si="24"/>
        <v>0.05</v>
      </c>
      <c r="K13" s="4" t="str">
        <f t="shared" si="25"/>
        <v>-0.05</v>
      </c>
      <c r="L13" s="4" t="str">
        <f t="shared" ref="L13:W13" si="28">"0.00"</f>
        <v>0.00</v>
      </c>
      <c r="M13" s="4" t="str">
        <f t="shared" si="8"/>
        <v>0.000</v>
      </c>
      <c r="N13" s="4" t="str">
        <f>"70.85"</f>
        <v>70.85</v>
      </c>
      <c r="O13" s="4" t="str">
        <f t="shared" si="9"/>
        <v>0</v>
      </c>
      <c r="P13" s="4" t="str">
        <f t="shared" si="28"/>
        <v>0.00</v>
      </c>
      <c r="Q13" s="4" t="str">
        <f t="shared" si="28"/>
        <v>0.00</v>
      </c>
      <c r="R13" s="4" t="str">
        <f t="shared" si="28"/>
        <v>0.00</v>
      </c>
      <c r="S13" s="4" t="str">
        <f t="shared" si="28"/>
        <v>0.00</v>
      </c>
      <c r="T13" s="4" t="str">
        <f t="shared" si="28"/>
        <v>0.00</v>
      </c>
      <c r="U13" s="4" t="str">
        <f t="shared" si="28"/>
        <v>0.00</v>
      </c>
      <c r="V13" s="4" t="str">
        <f t="shared" si="28"/>
        <v>0.00</v>
      </c>
      <c r="W13" s="4" t="str">
        <f t="shared" si="28"/>
        <v>0.00</v>
      </c>
      <c r="X13" s="4" t="str">
        <f t="shared" si="10"/>
        <v>0.00000</v>
      </c>
      <c r="Y13" s="4" t="str">
        <f t="shared" si="11"/>
        <v>0</v>
      </c>
      <c r="Z13" s="4" t="str">
        <f t="shared" si="12"/>
        <v>0</v>
      </c>
      <c r="AA13" s="4" t="str">
        <f t="shared" si="13"/>
        <v>人民币</v>
      </c>
      <c r="AB13" s="4" t="str">
        <f t="shared" si="14"/>
        <v>A368402599</v>
      </c>
    </row>
    <row r="14" spans="1:28">
      <c r="A14" s="4" t="str">
        <f>"20210719"</f>
        <v>20210719</v>
      </c>
      <c r="B14" s="4" t="str">
        <f>"20210719"</f>
        <v>20210719</v>
      </c>
      <c r="C14" s="4" t="str">
        <f t="shared" si="0"/>
        <v>0</v>
      </c>
      <c r="D14" s="4" t="str">
        <f t="shared" si="1"/>
        <v>00:00:00</v>
      </c>
      <c r="E14" s="4" t="str">
        <f t="shared" si="2"/>
        <v>港股通组合费</v>
      </c>
      <c r="F14" s="4" t="str">
        <f t="shared" si="3"/>
        <v/>
      </c>
      <c r="G14" s="4" t="str">
        <f t="shared" si="4"/>
        <v/>
      </c>
      <c r="H14" s="4" t="str">
        <f t="shared" si="5"/>
        <v>0.00</v>
      </c>
      <c r="I14" s="4" t="str">
        <f t="shared" si="6"/>
        <v>0</v>
      </c>
      <c r="J14" s="4" t="str">
        <f>"0.15"</f>
        <v>0.15</v>
      </c>
      <c r="K14" s="4" t="str">
        <f>"-0.15"</f>
        <v>-0.15</v>
      </c>
      <c r="L14" s="4" t="str">
        <f t="shared" ref="L14:W14" si="29">"0.00"</f>
        <v>0.00</v>
      </c>
      <c r="M14" s="4" t="str">
        <f t="shared" si="8"/>
        <v>0.000</v>
      </c>
      <c r="N14" s="4" t="str">
        <f>"70.70"</f>
        <v>70.70</v>
      </c>
      <c r="O14" s="4" t="str">
        <f t="shared" si="9"/>
        <v>0</v>
      </c>
      <c r="P14" s="4" t="str">
        <f t="shared" si="29"/>
        <v>0.00</v>
      </c>
      <c r="Q14" s="4" t="str">
        <f t="shared" si="29"/>
        <v>0.00</v>
      </c>
      <c r="R14" s="4" t="str">
        <f t="shared" si="29"/>
        <v>0.00</v>
      </c>
      <c r="S14" s="4" t="str">
        <f t="shared" si="29"/>
        <v>0.00</v>
      </c>
      <c r="T14" s="4" t="str">
        <f t="shared" si="29"/>
        <v>0.00</v>
      </c>
      <c r="U14" s="4" t="str">
        <f t="shared" si="29"/>
        <v>0.00</v>
      </c>
      <c r="V14" s="4" t="str">
        <f t="shared" si="29"/>
        <v>0.00</v>
      </c>
      <c r="W14" s="4" t="str">
        <f t="shared" si="29"/>
        <v>0.00</v>
      </c>
      <c r="X14" s="4" t="str">
        <f t="shared" si="10"/>
        <v>0.00000</v>
      </c>
      <c r="Y14" s="4" t="str">
        <f t="shared" si="11"/>
        <v>0</v>
      </c>
      <c r="Z14" s="4" t="str">
        <f t="shared" si="12"/>
        <v>0</v>
      </c>
      <c r="AA14" s="4" t="str">
        <f t="shared" si="13"/>
        <v>人民币</v>
      </c>
      <c r="AB14" s="4" t="str">
        <f t="shared" si="14"/>
        <v>A368402599</v>
      </c>
    </row>
    <row r="15" spans="1:28">
      <c r="A15" s="4" t="str">
        <f>"20210720"</f>
        <v>20210720</v>
      </c>
      <c r="B15" s="4" t="str">
        <f>"20210720"</f>
        <v>20210720</v>
      </c>
      <c r="C15" s="4" t="str">
        <f t="shared" si="0"/>
        <v>0</v>
      </c>
      <c r="D15" s="4" t="str">
        <f t="shared" si="1"/>
        <v>00:00:00</v>
      </c>
      <c r="E15" s="4" t="str">
        <f t="shared" si="2"/>
        <v>港股通组合费</v>
      </c>
      <c r="F15" s="4" t="str">
        <f t="shared" si="3"/>
        <v/>
      </c>
      <c r="G15" s="4" t="str">
        <f t="shared" si="4"/>
        <v/>
      </c>
      <c r="H15" s="4" t="str">
        <f t="shared" si="5"/>
        <v>0.00</v>
      </c>
      <c r="I15" s="4" t="str">
        <f t="shared" si="6"/>
        <v>0</v>
      </c>
      <c r="J15" s="4" t="str">
        <f t="shared" ref="J15:J18" si="30">"0.04"</f>
        <v>0.04</v>
      </c>
      <c r="K15" s="4" t="str">
        <f t="shared" ref="K15:K18" si="31">"-0.04"</f>
        <v>-0.04</v>
      </c>
      <c r="L15" s="4" t="str">
        <f t="shared" ref="L15:W15" si="32">"0.00"</f>
        <v>0.00</v>
      </c>
      <c r="M15" s="4" t="str">
        <f t="shared" si="8"/>
        <v>0.000</v>
      </c>
      <c r="N15" s="4" t="str">
        <f t="shared" ref="N15:N17" si="33">"12070.20"</f>
        <v>12070.20</v>
      </c>
      <c r="O15" s="4" t="str">
        <f t="shared" si="9"/>
        <v>0</v>
      </c>
      <c r="P15" s="4" t="str">
        <f t="shared" si="32"/>
        <v>0.00</v>
      </c>
      <c r="Q15" s="4" t="str">
        <f t="shared" si="32"/>
        <v>0.00</v>
      </c>
      <c r="R15" s="4" t="str">
        <f t="shared" si="32"/>
        <v>0.00</v>
      </c>
      <c r="S15" s="4" t="str">
        <f t="shared" si="32"/>
        <v>0.00</v>
      </c>
      <c r="T15" s="4" t="str">
        <f t="shared" si="32"/>
        <v>0.00</v>
      </c>
      <c r="U15" s="4" t="str">
        <f t="shared" si="32"/>
        <v>0.00</v>
      </c>
      <c r="V15" s="4" t="str">
        <f t="shared" si="32"/>
        <v>0.00</v>
      </c>
      <c r="W15" s="4" t="str">
        <f t="shared" si="32"/>
        <v>0.00</v>
      </c>
      <c r="X15" s="4" t="str">
        <f t="shared" si="10"/>
        <v>0.00000</v>
      </c>
      <c r="Y15" s="4" t="str">
        <f t="shared" si="11"/>
        <v>0</v>
      </c>
      <c r="Z15" s="4" t="str">
        <f t="shared" si="12"/>
        <v>0</v>
      </c>
      <c r="AA15" s="4" t="str">
        <f t="shared" si="13"/>
        <v>人民币</v>
      </c>
      <c r="AB15" s="4" t="str">
        <f t="shared" si="14"/>
        <v>A368402599</v>
      </c>
    </row>
    <row r="16" spans="1:28">
      <c r="A16" s="4" t="str">
        <f>"20210721"</f>
        <v>20210721</v>
      </c>
      <c r="B16" s="4" t="str">
        <f>"20210721"</f>
        <v>20210721</v>
      </c>
      <c r="C16" s="4" t="str">
        <f t="shared" si="0"/>
        <v>0</v>
      </c>
      <c r="D16" s="4" t="str">
        <f t="shared" si="1"/>
        <v>00:00:00</v>
      </c>
      <c r="E16" s="4" t="str">
        <f t="shared" si="2"/>
        <v>港股通组合费</v>
      </c>
      <c r="F16" s="4" t="str">
        <f t="shared" si="3"/>
        <v/>
      </c>
      <c r="G16" s="4" t="str">
        <f t="shared" si="4"/>
        <v/>
      </c>
      <c r="H16" s="4" t="str">
        <f t="shared" si="5"/>
        <v>0.00</v>
      </c>
      <c r="I16" s="4" t="str">
        <f t="shared" si="6"/>
        <v>0</v>
      </c>
      <c r="J16" s="4" t="str">
        <f t="shared" si="30"/>
        <v>0.04</v>
      </c>
      <c r="K16" s="4" t="str">
        <f t="shared" si="31"/>
        <v>-0.04</v>
      </c>
      <c r="L16" s="4" t="str">
        <f t="shared" ref="L16:W16" si="34">"0.00"</f>
        <v>0.00</v>
      </c>
      <c r="M16" s="4" t="str">
        <f t="shared" si="8"/>
        <v>0.000</v>
      </c>
      <c r="N16" s="4" t="str">
        <f t="shared" si="33"/>
        <v>12070.20</v>
      </c>
      <c r="O16" s="4" t="str">
        <f t="shared" si="9"/>
        <v>0</v>
      </c>
      <c r="P16" s="4" t="str">
        <f t="shared" si="34"/>
        <v>0.00</v>
      </c>
      <c r="Q16" s="4" t="str">
        <f t="shared" si="34"/>
        <v>0.00</v>
      </c>
      <c r="R16" s="4" t="str">
        <f t="shared" si="34"/>
        <v>0.00</v>
      </c>
      <c r="S16" s="4" t="str">
        <f t="shared" si="34"/>
        <v>0.00</v>
      </c>
      <c r="T16" s="4" t="str">
        <f t="shared" si="34"/>
        <v>0.00</v>
      </c>
      <c r="U16" s="4" t="str">
        <f t="shared" si="34"/>
        <v>0.00</v>
      </c>
      <c r="V16" s="4" t="str">
        <f t="shared" si="34"/>
        <v>0.00</v>
      </c>
      <c r="W16" s="4" t="str">
        <f t="shared" si="34"/>
        <v>0.00</v>
      </c>
      <c r="X16" s="4" t="str">
        <f t="shared" si="10"/>
        <v>0.00000</v>
      </c>
      <c r="Y16" s="4" t="str">
        <f t="shared" si="11"/>
        <v>0</v>
      </c>
      <c r="Z16" s="4" t="str">
        <f t="shared" si="12"/>
        <v>0</v>
      </c>
      <c r="AA16" s="4" t="str">
        <f t="shared" si="13"/>
        <v>人民币</v>
      </c>
      <c r="AB16" s="4" t="str">
        <f t="shared" si="14"/>
        <v>A368402599</v>
      </c>
    </row>
    <row r="17" spans="1:28">
      <c r="A17" s="4" t="str">
        <f>"20210722"</f>
        <v>20210722</v>
      </c>
      <c r="B17" s="4" t="str">
        <f>"20210722"</f>
        <v>20210722</v>
      </c>
      <c r="C17" s="4" t="str">
        <f t="shared" si="0"/>
        <v>0</v>
      </c>
      <c r="D17" s="4" t="str">
        <f t="shared" si="1"/>
        <v>00:00:00</v>
      </c>
      <c r="E17" s="4" t="str">
        <f t="shared" si="2"/>
        <v>港股通组合费</v>
      </c>
      <c r="F17" s="4" t="str">
        <f t="shared" si="3"/>
        <v/>
      </c>
      <c r="G17" s="4" t="str">
        <f t="shared" si="4"/>
        <v/>
      </c>
      <c r="H17" s="4" t="str">
        <f t="shared" si="5"/>
        <v>0.00</v>
      </c>
      <c r="I17" s="4" t="str">
        <f t="shared" si="6"/>
        <v>0</v>
      </c>
      <c r="J17" s="4" t="str">
        <f t="shared" si="30"/>
        <v>0.04</v>
      </c>
      <c r="K17" s="4" t="str">
        <f t="shared" si="31"/>
        <v>-0.04</v>
      </c>
      <c r="L17" s="4" t="str">
        <f t="shared" ref="L17:W17" si="35">"0.00"</f>
        <v>0.00</v>
      </c>
      <c r="M17" s="4" t="str">
        <f t="shared" si="8"/>
        <v>0.000</v>
      </c>
      <c r="N17" s="4" t="str">
        <f t="shared" si="33"/>
        <v>12070.20</v>
      </c>
      <c r="O17" s="4" t="str">
        <f t="shared" si="9"/>
        <v>0</v>
      </c>
      <c r="P17" s="4" t="str">
        <f t="shared" si="35"/>
        <v>0.00</v>
      </c>
      <c r="Q17" s="4" t="str">
        <f t="shared" si="35"/>
        <v>0.00</v>
      </c>
      <c r="R17" s="4" t="str">
        <f t="shared" si="35"/>
        <v>0.00</v>
      </c>
      <c r="S17" s="4" t="str">
        <f t="shared" si="35"/>
        <v>0.00</v>
      </c>
      <c r="T17" s="4" t="str">
        <f t="shared" si="35"/>
        <v>0.00</v>
      </c>
      <c r="U17" s="4" t="str">
        <f t="shared" si="35"/>
        <v>0.00</v>
      </c>
      <c r="V17" s="4" t="str">
        <f t="shared" si="35"/>
        <v>0.00</v>
      </c>
      <c r="W17" s="4" t="str">
        <f t="shared" si="35"/>
        <v>0.00</v>
      </c>
      <c r="X17" s="4" t="str">
        <f t="shared" si="10"/>
        <v>0.00000</v>
      </c>
      <c r="Y17" s="4" t="str">
        <f t="shared" si="11"/>
        <v>0</v>
      </c>
      <c r="Z17" s="4" t="str">
        <f t="shared" si="12"/>
        <v>0</v>
      </c>
      <c r="AA17" s="4" t="str">
        <f t="shared" si="13"/>
        <v>人民币</v>
      </c>
      <c r="AB17" s="4" t="str">
        <f t="shared" si="14"/>
        <v>A368402599</v>
      </c>
    </row>
    <row r="18" spans="1:28">
      <c r="A18" s="4" t="str">
        <f>"20210723"</f>
        <v>20210723</v>
      </c>
      <c r="B18" s="4" t="str">
        <f>"20210723"</f>
        <v>20210723</v>
      </c>
      <c r="C18" s="4" t="str">
        <f t="shared" si="0"/>
        <v>0</v>
      </c>
      <c r="D18" s="4" t="str">
        <f t="shared" si="1"/>
        <v>00:00:00</v>
      </c>
      <c r="E18" s="4" t="str">
        <f t="shared" si="2"/>
        <v>港股通组合费</v>
      </c>
      <c r="F18" s="4" t="str">
        <f t="shared" si="3"/>
        <v/>
      </c>
      <c r="G18" s="4" t="str">
        <f t="shared" si="4"/>
        <v/>
      </c>
      <c r="H18" s="4" t="str">
        <f t="shared" si="5"/>
        <v>0.00</v>
      </c>
      <c r="I18" s="4" t="str">
        <f t="shared" si="6"/>
        <v>0</v>
      </c>
      <c r="J18" s="4" t="str">
        <f t="shared" si="30"/>
        <v>0.04</v>
      </c>
      <c r="K18" s="4" t="str">
        <f t="shared" si="31"/>
        <v>-0.04</v>
      </c>
      <c r="L18" s="4" t="str">
        <f t="shared" ref="L18:W18" si="36">"0.00"</f>
        <v>0.00</v>
      </c>
      <c r="M18" s="4" t="str">
        <f t="shared" si="8"/>
        <v>0.000</v>
      </c>
      <c r="N18" s="4" t="str">
        <f>"30175.20"</f>
        <v>30175.20</v>
      </c>
      <c r="O18" s="4" t="str">
        <f t="shared" si="9"/>
        <v>0</v>
      </c>
      <c r="P18" s="4" t="str">
        <f t="shared" si="36"/>
        <v>0.00</v>
      </c>
      <c r="Q18" s="4" t="str">
        <f t="shared" si="36"/>
        <v>0.00</v>
      </c>
      <c r="R18" s="4" t="str">
        <f t="shared" si="36"/>
        <v>0.00</v>
      </c>
      <c r="S18" s="4" t="str">
        <f t="shared" si="36"/>
        <v>0.00</v>
      </c>
      <c r="T18" s="4" t="str">
        <f t="shared" si="36"/>
        <v>0.00</v>
      </c>
      <c r="U18" s="4" t="str">
        <f t="shared" si="36"/>
        <v>0.00</v>
      </c>
      <c r="V18" s="4" t="str">
        <f t="shared" si="36"/>
        <v>0.00</v>
      </c>
      <c r="W18" s="4" t="str">
        <f t="shared" si="36"/>
        <v>0.00</v>
      </c>
      <c r="X18" s="4" t="str">
        <f t="shared" si="10"/>
        <v>0.00000</v>
      </c>
      <c r="Y18" s="4" t="str">
        <f t="shared" si="11"/>
        <v>0</v>
      </c>
      <c r="Z18" s="4" t="str">
        <f t="shared" si="12"/>
        <v>0</v>
      </c>
      <c r="AA18" s="4" t="str">
        <f t="shared" si="13"/>
        <v>人民币</v>
      </c>
      <c r="AB18" s="4" t="str">
        <f t="shared" si="14"/>
        <v>A368402599</v>
      </c>
    </row>
    <row r="19" spans="1:28">
      <c r="A19" s="4" t="str">
        <f>"20210726"</f>
        <v>20210726</v>
      </c>
      <c r="B19" s="4" t="str">
        <f>"20210726"</f>
        <v>20210726</v>
      </c>
      <c r="C19" s="4" t="str">
        <f t="shared" si="0"/>
        <v>0</v>
      </c>
      <c r="D19" s="4" t="str">
        <f t="shared" si="1"/>
        <v>00:00:00</v>
      </c>
      <c r="E19" s="4" t="str">
        <f t="shared" si="2"/>
        <v>港股通组合费</v>
      </c>
      <c r="F19" s="4" t="str">
        <f t="shared" si="3"/>
        <v/>
      </c>
      <c r="G19" s="4" t="str">
        <f t="shared" si="4"/>
        <v/>
      </c>
      <c r="H19" s="4" t="str">
        <f t="shared" si="5"/>
        <v>0.00</v>
      </c>
      <c r="I19" s="4" t="str">
        <f t="shared" si="6"/>
        <v>0</v>
      </c>
      <c r="J19" s="4" t="str">
        <f>"0.13"</f>
        <v>0.13</v>
      </c>
      <c r="K19" s="4" t="str">
        <f>"-0.13"</f>
        <v>-0.13</v>
      </c>
      <c r="L19" s="4" t="str">
        <f t="shared" ref="L19:W19" si="37">"0.00"</f>
        <v>0.00</v>
      </c>
      <c r="M19" s="4" t="str">
        <f t="shared" si="8"/>
        <v>0.000</v>
      </c>
      <c r="N19" s="4" t="str">
        <f>"11950.11"</f>
        <v>11950.11</v>
      </c>
      <c r="O19" s="4" t="str">
        <f t="shared" si="9"/>
        <v>0</v>
      </c>
      <c r="P19" s="4" t="str">
        <f t="shared" si="37"/>
        <v>0.00</v>
      </c>
      <c r="Q19" s="4" t="str">
        <f t="shared" si="37"/>
        <v>0.00</v>
      </c>
      <c r="R19" s="4" t="str">
        <f t="shared" si="37"/>
        <v>0.00</v>
      </c>
      <c r="S19" s="4" t="str">
        <f t="shared" si="37"/>
        <v>0.00</v>
      </c>
      <c r="T19" s="4" t="str">
        <f t="shared" si="37"/>
        <v>0.00</v>
      </c>
      <c r="U19" s="4" t="str">
        <f t="shared" si="37"/>
        <v>0.00</v>
      </c>
      <c r="V19" s="4" t="str">
        <f t="shared" si="37"/>
        <v>0.00</v>
      </c>
      <c r="W19" s="4" t="str">
        <f t="shared" si="37"/>
        <v>0.00</v>
      </c>
      <c r="X19" s="4" t="str">
        <f t="shared" si="10"/>
        <v>0.00000</v>
      </c>
      <c r="Y19" s="4" t="str">
        <f t="shared" si="11"/>
        <v>0</v>
      </c>
      <c r="Z19" s="4" t="str">
        <f t="shared" si="12"/>
        <v>0</v>
      </c>
      <c r="AA19" s="4" t="str">
        <f t="shared" si="13"/>
        <v>人民币</v>
      </c>
      <c r="AB19" s="4" t="str">
        <f t="shared" si="14"/>
        <v>A368402599</v>
      </c>
    </row>
    <row r="20" spans="1:28">
      <c r="A20" s="4" t="str">
        <f>"20210727"</f>
        <v>20210727</v>
      </c>
      <c r="B20" s="4" t="str">
        <f>"20210727"</f>
        <v>20210727</v>
      </c>
      <c r="C20" s="4" t="str">
        <f t="shared" si="0"/>
        <v>0</v>
      </c>
      <c r="D20" s="4" t="str">
        <f t="shared" si="1"/>
        <v>00:00:00</v>
      </c>
      <c r="E20" s="4" t="str">
        <f t="shared" si="2"/>
        <v>港股通组合费</v>
      </c>
      <c r="F20" s="4" t="str">
        <f t="shared" si="3"/>
        <v/>
      </c>
      <c r="G20" s="4" t="str">
        <f t="shared" si="4"/>
        <v/>
      </c>
      <c r="H20" s="4" t="str">
        <f t="shared" si="5"/>
        <v>0.00</v>
      </c>
      <c r="I20" s="4" t="str">
        <f t="shared" si="6"/>
        <v>0</v>
      </c>
      <c r="J20" s="4" t="str">
        <f t="shared" ref="J20:J23" si="38">"0.04"</f>
        <v>0.04</v>
      </c>
      <c r="K20" s="4" t="str">
        <f t="shared" ref="K20:K23" si="39">"-0.04"</f>
        <v>-0.04</v>
      </c>
      <c r="L20" s="4" t="str">
        <f t="shared" ref="L20:W20" si="40">"0.00"</f>
        <v>0.00</v>
      </c>
      <c r="M20" s="4" t="str">
        <f t="shared" si="8"/>
        <v>0.000</v>
      </c>
      <c r="N20" s="4" t="str">
        <f>"12047.41"</f>
        <v>12047.41</v>
      </c>
      <c r="O20" s="4" t="str">
        <f t="shared" si="9"/>
        <v>0</v>
      </c>
      <c r="P20" s="4" t="str">
        <f t="shared" si="40"/>
        <v>0.00</v>
      </c>
      <c r="Q20" s="4" t="str">
        <f t="shared" si="40"/>
        <v>0.00</v>
      </c>
      <c r="R20" s="4" t="str">
        <f t="shared" si="40"/>
        <v>0.00</v>
      </c>
      <c r="S20" s="4" t="str">
        <f t="shared" si="40"/>
        <v>0.00</v>
      </c>
      <c r="T20" s="4" t="str">
        <f t="shared" si="40"/>
        <v>0.00</v>
      </c>
      <c r="U20" s="4" t="str">
        <f t="shared" si="40"/>
        <v>0.00</v>
      </c>
      <c r="V20" s="4" t="str">
        <f t="shared" si="40"/>
        <v>0.00</v>
      </c>
      <c r="W20" s="4" t="str">
        <f t="shared" si="40"/>
        <v>0.00</v>
      </c>
      <c r="X20" s="4" t="str">
        <f t="shared" si="10"/>
        <v>0.00000</v>
      </c>
      <c r="Y20" s="4" t="str">
        <f t="shared" si="11"/>
        <v>0</v>
      </c>
      <c r="Z20" s="4" t="str">
        <f t="shared" si="12"/>
        <v>0</v>
      </c>
      <c r="AA20" s="4" t="str">
        <f t="shared" si="13"/>
        <v>人民币</v>
      </c>
      <c r="AB20" s="4" t="str">
        <f t="shared" si="14"/>
        <v>A368402599</v>
      </c>
    </row>
    <row r="21" spans="1:28">
      <c r="A21" s="4" t="str">
        <f>"20210728"</f>
        <v>20210728</v>
      </c>
      <c r="B21" s="4" t="str">
        <f>"20210728"</f>
        <v>20210728</v>
      </c>
      <c r="C21" s="4" t="str">
        <f t="shared" si="0"/>
        <v>0</v>
      </c>
      <c r="D21" s="4" t="str">
        <f t="shared" si="1"/>
        <v>00:00:00</v>
      </c>
      <c r="E21" s="4" t="str">
        <f t="shared" si="2"/>
        <v>港股通组合费</v>
      </c>
      <c r="F21" s="4" t="str">
        <f t="shared" si="3"/>
        <v/>
      </c>
      <c r="G21" s="4" t="str">
        <f t="shared" si="4"/>
        <v/>
      </c>
      <c r="H21" s="4" t="str">
        <f t="shared" si="5"/>
        <v>0.00</v>
      </c>
      <c r="I21" s="4" t="str">
        <f t="shared" si="6"/>
        <v>0</v>
      </c>
      <c r="J21" s="4" t="str">
        <f t="shared" si="38"/>
        <v>0.04</v>
      </c>
      <c r="K21" s="4" t="str">
        <f t="shared" si="39"/>
        <v>-0.04</v>
      </c>
      <c r="L21" s="4" t="str">
        <f t="shared" ref="L21:W21" si="41">"0.00"</f>
        <v>0.00</v>
      </c>
      <c r="M21" s="4" t="str">
        <f t="shared" si="8"/>
        <v>0.000</v>
      </c>
      <c r="N21" s="4" t="str">
        <f t="shared" ref="N21:N23" si="42">"11830.20"</f>
        <v>11830.20</v>
      </c>
      <c r="O21" s="4" t="str">
        <f t="shared" si="9"/>
        <v>0</v>
      </c>
      <c r="P21" s="4" t="str">
        <f t="shared" si="41"/>
        <v>0.00</v>
      </c>
      <c r="Q21" s="4" t="str">
        <f t="shared" si="41"/>
        <v>0.00</v>
      </c>
      <c r="R21" s="4" t="str">
        <f t="shared" si="41"/>
        <v>0.00</v>
      </c>
      <c r="S21" s="4" t="str">
        <f t="shared" si="41"/>
        <v>0.00</v>
      </c>
      <c r="T21" s="4" t="str">
        <f t="shared" si="41"/>
        <v>0.00</v>
      </c>
      <c r="U21" s="4" t="str">
        <f t="shared" si="41"/>
        <v>0.00</v>
      </c>
      <c r="V21" s="4" t="str">
        <f t="shared" si="41"/>
        <v>0.00</v>
      </c>
      <c r="W21" s="4" t="str">
        <f t="shared" si="41"/>
        <v>0.00</v>
      </c>
      <c r="X21" s="4" t="str">
        <f t="shared" si="10"/>
        <v>0.00000</v>
      </c>
      <c r="Y21" s="4" t="str">
        <f t="shared" si="11"/>
        <v>0</v>
      </c>
      <c r="Z21" s="4" t="str">
        <f t="shared" si="12"/>
        <v>0</v>
      </c>
      <c r="AA21" s="4" t="str">
        <f t="shared" si="13"/>
        <v>人民币</v>
      </c>
      <c r="AB21" s="4" t="str">
        <f t="shared" si="14"/>
        <v>A368402599</v>
      </c>
    </row>
    <row r="22" spans="1:28">
      <c r="A22" s="4" t="str">
        <f>"20210729"</f>
        <v>20210729</v>
      </c>
      <c r="B22" s="4" t="str">
        <f>"20210729"</f>
        <v>20210729</v>
      </c>
      <c r="C22" s="4" t="str">
        <f t="shared" si="0"/>
        <v>0</v>
      </c>
      <c r="D22" s="4" t="str">
        <f t="shared" si="1"/>
        <v>00:00:00</v>
      </c>
      <c r="E22" s="4" t="str">
        <f t="shared" si="2"/>
        <v>港股通组合费</v>
      </c>
      <c r="F22" s="4" t="str">
        <f t="shared" si="3"/>
        <v/>
      </c>
      <c r="G22" s="4" t="str">
        <f t="shared" si="4"/>
        <v/>
      </c>
      <c r="H22" s="4" t="str">
        <f t="shared" si="5"/>
        <v>0.00</v>
      </c>
      <c r="I22" s="4" t="str">
        <f t="shared" si="6"/>
        <v>0</v>
      </c>
      <c r="J22" s="4" t="str">
        <f t="shared" si="38"/>
        <v>0.04</v>
      </c>
      <c r="K22" s="4" t="str">
        <f t="shared" si="39"/>
        <v>-0.04</v>
      </c>
      <c r="L22" s="4" t="str">
        <f t="shared" ref="L22:W22" si="43">"0.00"</f>
        <v>0.00</v>
      </c>
      <c r="M22" s="4" t="str">
        <f t="shared" si="8"/>
        <v>0.000</v>
      </c>
      <c r="N22" s="4" t="str">
        <f t="shared" si="42"/>
        <v>11830.20</v>
      </c>
      <c r="O22" s="4" t="str">
        <f t="shared" si="9"/>
        <v>0</v>
      </c>
      <c r="P22" s="4" t="str">
        <f t="shared" si="43"/>
        <v>0.00</v>
      </c>
      <c r="Q22" s="4" t="str">
        <f t="shared" si="43"/>
        <v>0.00</v>
      </c>
      <c r="R22" s="4" t="str">
        <f t="shared" si="43"/>
        <v>0.00</v>
      </c>
      <c r="S22" s="4" t="str">
        <f t="shared" si="43"/>
        <v>0.00</v>
      </c>
      <c r="T22" s="4" t="str">
        <f t="shared" si="43"/>
        <v>0.00</v>
      </c>
      <c r="U22" s="4" t="str">
        <f t="shared" si="43"/>
        <v>0.00</v>
      </c>
      <c r="V22" s="4" t="str">
        <f t="shared" si="43"/>
        <v>0.00</v>
      </c>
      <c r="W22" s="4" t="str">
        <f t="shared" si="43"/>
        <v>0.00</v>
      </c>
      <c r="X22" s="4" t="str">
        <f t="shared" si="10"/>
        <v>0.00000</v>
      </c>
      <c r="Y22" s="4" t="str">
        <f t="shared" si="11"/>
        <v>0</v>
      </c>
      <c r="Z22" s="4" t="str">
        <f t="shared" si="12"/>
        <v>0</v>
      </c>
      <c r="AA22" s="4" t="str">
        <f t="shared" si="13"/>
        <v>人民币</v>
      </c>
      <c r="AB22" s="4" t="str">
        <f t="shared" si="14"/>
        <v>A368402599</v>
      </c>
    </row>
    <row r="23" spans="1:28">
      <c r="A23" s="4" t="str">
        <f>"20210730"</f>
        <v>20210730</v>
      </c>
      <c r="B23" s="4" t="str">
        <f>"20210730"</f>
        <v>20210730</v>
      </c>
      <c r="C23" s="4" t="str">
        <f t="shared" si="0"/>
        <v>0</v>
      </c>
      <c r="D23" s="4" t="str">
        <f t="shared" si="1"/>
        <v>00:00:00</v>
      </c>
      <c r="E23" s="4" t="str">
        <f t="shared" si="2"/>
        <v>港股通组合费</v>
      </c>
      <c r="F23" s="4" t="str">
        <f t="shared" si="3"/>
        <v/>
      </c>
      <c r="G23" s="4" t="str">
        <f t="shared" si="4"/>
        <v/>
      </c>
      <c r="H23" s="4" t="str">
        <f t="shared" si="5"/>
        <v>0.00</v>
      </c>
      <c r="I23" s="4" t="str">
        <f t="shared" si="6"/>
        <v>0</v>
      </c>
      <c r="J23" s="4" t="str">
        <f t="shared" si="38"/>
        <v>0.04</v>
      </c>
      <c r="K23" s="4" t="str">
        <f t="shared" si="39"/>
        <v>-0.04</v>
      </c>
      <c r="L23" s="4" t="str">
        <f t="shared" ref="L23:W23" si="44">"0.00"</f>
        <v>0.00</v>
      </c>
      <c r="M23" s="4" t="str">
        <f t="shared" si="8"/>
        <v>0.000</v>
      </c>
      <c r="N23" s="4" t="str">
        <f t="shared" si="42"/>
        <v>11830.20</v>
      </c>
      <c r="O23" s="4" t="str">
        <f t="shared" si="9"/>
        <v>0</v>
      </c>
      <c r="P23" s="4" t="str">
        <f t="shared" si="44"/>
        <v>0.00</v>
      </c>
      <c r="Q23" s="4" t="str">
        <f t="shared" si="44"/>
        <v>0.00</v>
      </c>
      <c r="R23" s="4" t="str">
        <f t="shared" si="44"/>
        <v>0.00</v>
      </c>
      <c r="S23" s="4" t="str">
        <f t="shared" si="44"/>
        <v>0.00</v>
      </c>
      <c r="T23" s="4" t="str">
        <f t="shared" si="44"/>
        <v>0.00</v>
      </c>
      <c r="U23" s="4" t="str">
        <f t="shared" si="44"/>
        <v>0.00</v>
      </c>
      <c r="V23" s="4" t="str">
        <f t="shared" si="44"/>
        <v>0.00</v>
      </c>
      <c r="W23" s="4" t="str">
        <f t="shared" si="44"/>
        <v>0.00</v>
      </c>
      <c r="X23" s="4" t="str">
        <f t="shared" si="10"/>
        <v>0.00000</v>
      </c>
      <c r="Y23" s="4" t="str">
        <f t="shared" si="11"/>
        <v>0</v>
      </c>
      <c r="Z23" s="4" t="str">
        <f t="shared" si="12"/>
        <v>0</v>
      </c>
      <c r="AA23" s="4" t="str">
        <f t="shared" si="13"/>
        <v>人民币</v>
      </c>
      <c r="AB23" s="4" t="str">
        <f t="shared" si="14"/>
        <v>A368402599</v>
      </c>
    </row>
    <row r="24" spans="1:28">
      <c r="A24" s="4" t="str">
        <f>"20210802"</f>
        <v>20210802</v>
      </c>
      <c r="B24" s="4" t="str">
        <f>"20210802"</f>
        <v>20210802</v>
      </c>
      <c r="C24" s="4" t="str">
        <f t="shared" si="0"/>
        <v>0</v>
      </c>
      <c r="D24" s="4" t="str">
        <f t="shared" si="1"/>
        <v>00:00:00</v>
      </c>
      <c r="E24" s="4" t="str">
        <f t="shared" si="2"/>
        <v>港股通组合费</v>
      </c>
      <c r="F24" s="4" t="str">
        <f t="shared" si="3"/>
        <v/>
      </c>
      <c r="G24" s="4" t="str">
        <f t="shared" si="4"/>
        <v/>
      </c>
      <c r="H24" s="4" t="str">
        <f t="shared" si="5"/>
        <v>0.00</v>
      </c>
      <c r="I24" s="4" t="str">
        <f t="shared" si="6"/>
        <v>0</v>
      </c>
      <c r="J24" s="4" t="str">
        <f>"0.12"</f>
        <v>0.12</v>
      </c>
      <c r="K24" s="4" t="str">
        <f>"-0.12"</f>
        <v>-0.12</v>
      </c>
      <c r="L24" s="4" t="str">
        <f t="shared" ref="L24:W24" si="45">"0.00"</f>
        <v>0.00</v>
      </c>
      <c r="M24" s="4" t="str">
        <f t="shared" si="8"/>
        <v>0.000</v>
      </c>
      <c r="N24" s="4" t="str">
        <f>"4.88"</f>
        <v>4.88</v>
      </c>
      <c r="O24" s="4" t="str">
        <f t="shared" si="9"/>
        <v>0</v>
      </c>
      <c r="P24" s="4" t="str">
        <f t="shared" si="45"/>
        <v>0.00</v>
      </c>
      <c r="Q24" s="4" t="str">
        <f t="shared" si="45"/>
        <v>0.00</v>
      </c>
      <c r="R24" s="4" t="str">
        <f t="shared" si="45"/>
        <v>0.00</v>
      </c>
      <c r="S24" s="4" t="str">
        <f t="shared" si="45"/>
        <v>0.00</v>
      </c>
      <c r="T24" s="4" t="str">
        <f t="shared" si="45"/>
        <v>0.00</v>
      </c>
      <c r="U24" s="4" t="str">
        <f t="shared" si="45"/>
        <v>0.00</v>
      </c>
      <c r="V24" s="4" t="str">
        <f t="shared" si="45"/>
        <v>0.00</v>
      </c>
      <c r="W24" s="4" t="str">
        <f t="shared" si="45"/>
        <v>0.00</v>
      </c>
      <c r="X24" s="4" t="str">
        <f t="shared" si="10"/>
        <v>0.00000</v>
      </c>
      <c r="Y24" s="4" t="str">
        <f t="shared" si="11"/>
        <v>0</v>
      </c>
      <c r="Z24" s="4" t="str">
        <f t="shared" si="12"/>
        <v>0</v>
      </c>
      <c r="AA24" s="4" t="str">
        <f t="shared" si="13"/>
        <v>人民币</v>
      </c>
      <c r="AB24" s="4" t="str">
        <f t="shared" si="14"/>
        <v>A368402599</v>
      </c>
    </row>
    <row r="25" spans="1:28">
      <c r="A25" s="4" t="str">
        <f>"20210803"</f>
        <v>20210803</v>
      </c>
      <c r="B25" s="4" t="str">
        <f>"20210803"</f>
        <v>20210803</v>
      </c>
      <c r="C25" s="4" t="str">
        <f t="shared" si="0"/>
        <v>0</v>
      </c>
      <c r="D25" s="4" t="str">
        <f t="shared" si="1"/>
        <v>00:00:00</v>
      </c>
      <c r="E25" s="4" t="str">
        <f t="shared" si="2"/>
        <v>港股通组合费</v>
      </c>
      <c r="F25" s="4" t="str">
        <f t="shared" si="3"/>
        <v/>
      </c>
      <c r="G25" s="4" t="str">
        <f t="shared" si="4"/>
        <v/>
      </c>
      <c r="H25" s="4" t="str">
        <f t="shared" si="5"/>
        <v>0.00</v>
      </c>
      <c r="I25" s="4" t="str">
        <f t="shared" si="6"/>
        <v>0</v>
      </c>
      <c r="J25" s="4" t="str">
        <f t="shared" ref="J25:J28" si="46">"0.04"</f>
        <v>0.04</v>
      </c>
      <c r="K25" s="4" t="str">
        <f t="shared" ref="K25:K28" si="47">"-0.04"</f>
        <v>-0.04</v>
      </c>
      <c r="L25" s="4" t="str">
        <f t="shared" ref="L25:W25" si="48">"0.00"</f>
        <v>0.00</v>
      </c>
      <c r="M25" s="4" t="str">
        <f t="shared" si="8"/>
        <v>0.000</v>
      </c>
      <c r="N25" s="4" t="str">
        <f t="shared" ref="N25:N28" si="49">"4.96"</f>
        <v>4.96</v>
      </c>
      <c r="O25" s="4" t="str">
        <f t="shared" si="9"/>
        <v>0</v>
      </c>
      <c r="P25" s="4" t="str">
        <f t="shared" si="48"/>
        <v>0.00</v>
      </c>
      <c r="Q25" s="4" t="str">
        <f t="shared" si="48"/>
        <v>0.00</v>
      </c>
      <c r="R25" s="4" t="str">
        <f t="shared" si="48"/>
        <v>0.00</v>
      </c>
      <c r="S25" s="4" t="str">
        <f t="shared" si="48"/>
        <v>0.00</v>
      </c>
      <c r="T25" s="4" t="str">
        <f t="shared" si="48"/>
        <v>0.00</v>
      </c>
      <c r="U25" s="4" t="str">
        <f t="shared" si="48"/>
        <v>0.00</v>
      </c>
      <c r="V25" s="4" t="str">
        <f t="shared" si="48"/>
        <v>0.00</v>
      </c>
      <c r="W25" s="4" t="str">
        <f t="shared" si="48"/>
        <v>0.00</v>
      </c>
      <c r="X25" s="4" t="str">
        <f t="shared" si="10"/>
        <v>0.00000</v>
      </c>
      <c r="Y25" s="4" t="str">
        <f t="shared" si="11"/>
        <v>0</v>
      </c>
      <c r="Z25" s="4" t="str">
        <f t="shared" si="12"/>
        <v>0</v>
      </c>
      <c r="AA25" s="4" t="str">
        <f t="shared" si="13"/>
        <v>人民币</v>
      </c>
      <c r="AB25" s="4" t="str">
        <f t="shared" si="14"/>
        <v>A368402599</v>
      </c>
    </row>
    <row r="26" spans="1:28">
      <c r="A26" s="4" t="str">
        <f>"20210804"</f>
        <v>20210804</v>
      </c>
      <c r="B26" s="4" t="str">
        <f>"20210804"</f>
        <v>20210804</v>
      </c>
      <c r="C26" s="4" t="str">
        <f t="shared" si="0"/>
        <v>0</v>
      </c>
      <c r="D26" s="4" t="str">
        <f t="shared" si="1"/>
        <v>00:00:00</v>
      </c>
      <c r="E26" s="4" t="str">
        <f t="shared" si="2"/>
        <v>港股通组合费</v>
      </c>
      <c r="F26" s="4" t="str">
        <f t="shared" si="3"/>
        <v/>
      </c>
      <c r="G26" s="4" t="str">
        <f t="shared" si="4"/>
        <v/>
      </c>
      <c r="H26" s="4" t="str">
        <f t="shared" si="5"/>
        <v>0.00</v>
      </c>
      <c r="I26" s="4" t="str">
        <f t="shared" si="6"/>
        <v>0</v>
      </c>
      <c r="J26" s="4" t="str">
        <f t="shared" si="46"/>
        <v>0.04</v>
      </c>
      <c r="K26" s="4" t="str">
        <f t="shared" si="47"/>
        <v>-0.04</v>
      </c>
      <c r="L26" s="4" t="str">
        <f t="shared" ref="L26:W26" si="50">"0.00"</f>
        <v>0.00</v>
      </c>
      <c r="M26" s="4" t="str">
        <f t="shared" si="8"/>
        <v>0.000</v>
      </c>
      <c r="N26" s="4" t="str">
        <f t="shared" si="49"/>
        <v>4.96</v>
      </c>
      <c r="O26" s="4" t="str">
        <f t="shared" si="9"/>
        <v>0</v>
      </c>
      <c r="P26" s="4" t="str">
        <f t="shared" si="50"/>
        <v>0.00</v>
      </c>
      <c r="Q26" s="4" t="str">
        <f t="shared" si="50"/>
        <v>0.00</v>
      </c>
      <c r="R26" s="4" t="str">
        <f t="shared" si="50"/>
        <v>0.00</v>
      </c>
      <c r="S26" s="4" t="str">
        <f t="shared" si="50"/>
        <v>0.00</v>
      </c>
      <c r="T26" s="4" t="str">
        <f t="shared" si="50"/>
        <v>0.00</v>
      </c>
      <c r="U26" s="4" t="str">
        <f t="shared" si="50"/>
        <v>0.00</v>
      </c>
      <c r="V26" s="4" t="str">
        <f t="shared" si="50"/>
        <v>0.00</v>
      </c>
      <c r="W26" s="4" t="str">
        <f t="shared" si="50"/>
        <v>0.00</v>
      </c>
      <c r="X26" s="4" t="str">
        <f t="shared" si="10"/>
        <v>0.00000</v>
      </c>
      <c r="Y26" s="4" t="str">
        <f t="shared" si="11"/>
        <v>0</v>
      </c>
      <c r="Z26" s="4" t="str">
        <f t="shared" si="12"/>
        <v>0</v>
      </c>
      <c r="AA26" s="4" t="str">
        <f t="shared" si="13"/>
        <v>人民币</v>
      </c>
      <c r="AB26" s="4" t="str">
        <f t="shared" si="14"/>
        <v>A368402599</v>
      </c>
    </row>
    <row r="27" spans="1:28">
      <c r="A27" s="4" t="str">
        <f>"20210805"</f>
        <v>20210805</v>
      </c>
      <c r="B27" s="4" t="str">
        <f>"20210805"</f>
        <v>20210805</v>
      </c>
      <c r="C27" s="4" t="str">
        <f t="shared" si="0"/>
        <v>0</v>
      </c>
      <c r="D27" s="4" t="str">
        <f t="shared" si="1"/>
        <v>00:00:00</v>
      </c>
      <c r="E27" s="4" t="str">
        <f t="shared" si="2"/>
        <v>港股通组合费</v>
      </c>
      <c r="F27" s="4" t="str">
        <f t="shared" si="3"/>
        <v/>
      </c>
      <c r="G27" s="4" t="str">
        <f t="shared" si="4"/>
        <v/>
      </c>
      <c r="H27" s="4" t="str">
        <f t="shared" si="5"/>
        <v>0.00</v>
      </c>
      <c r="I27" s="4" t="str">
        <f t="shared" si="6"/>
        <v>0</v>
      </c>
      <c r="J27" s="4" t="str">
        <f t="shared" si="46"/>
        <v>0.04</v>
      </c>
      <c r="K27" s="4" t="str">
        <f t="shared" si="47"/>
        <v>-0.04</v>
      </c>
      <c r="L27" s="4" t="str">
        <f t="shared" ref="L27:W27" si="51">"0.00"</f>
        <v>0.00</v>
      </c>
      <c r="M27" s="4" t="str">
        <f t="shared" si="8"/>
        <v>0.000</v>
      </c>
      <c r="N27" s="4" t="str">
        <f>"102.38"</f>
        <v>102.38</v>
      </c>
      <c r="O27" s="4" t="str">
        <f t="shared" si="9"/>
        <v>0</v>
      </c>
      <c r="P27" s="4" t="str">
        <f t="shared" si="51"/>
        <v>0.00</v>
      </c>
      <c r="Q27" s="4" t="str">
        <f t="shared" si="51"/>
        <v>0.00</v>
      </c>
      <c r="R27" s="4" t="str">
        <f t="shared" si="51"/>
        <v>0.00</v>
      </c>
      <c r="S27" s="4" t="str">
        <f t="shared" si="51"/>
        <v>0.00</v>
      </c>
      <c r="T27" s="4" t="str">
        <f t="shared" si="51"/>
        <v>0.00</v>
      </c>
      <c r="U27" s="4" t="str">
        <f t="shared" si="51"/>
        <v>0.00</v>
      </c>
      <c r="V27" s="4" t="str">
        <f t="shared" si="51"/>
        <v>0.00</v>
      </c>
      <c r="W27" s="4" t="str">
        <f t="shared" si="51"/>
        <v>0.00</v>
      </c>
      <c r="X27" s="4" t="str">
        <f t="shared" si="10"/>
        <v>0.00000</v>
      </c>
      <c r="Y27" s="4" t="str">
        <f t="shared" si="11"/>
        <v>0</v>
      </c>
      <c r="Z27" s="4" t="str">
        <f t="shared" si="12"/>
        <v>0</v>
      </c>
      <c r="AA27" s="4" t="str">
        <f t="shared" si="13"/>
        <v>人民币</v>
      </c>
      <c r="AB27" s="4" t="str">
        <f t="shared" si="14"/>
        <v>A368402599</v>
      </c>
    </row>
    <row r="28" spans="1:28">
      <c r="A28" s="4" t="str">
        <f>"20210806"</f>
        <v>20210806</v>
      </c>
      <c r="B28" s="4" t="str">
        <f>"20210806"</f>
        <v>20210806</v>
      </c>
      <c r="C28" s="4" t="str">
        <f t="shared" si="0"/>
        <v>0</v>
      </c>
      <c r="D28" s="4" t="str">
        <f t="shared" si="1"/>
        <v>00:00:00</v>
      </c>
      <c r="E28" s="4" t="str">
        <f t="shared" si="2"/>
        <v>港股通组合费</v>
      </c>
      <c r="F28" s="4" t="str">
        <f t="shared" si="3"/>
        <v/>
      </c>
      <c r="G28" s="4" t="str">
        <f t="shared" si="4"/>
        <v/>
      </c>
      <c r="H28" s="4" t="str">
        <f t="shared" si="5"/>
        <v>0.00</v>
      </c>
      <c r="I28" s="4" t="str">
        <f t="shared" si="6"/>
        <v>0</v>
      </c>
      <c r="J28" s="4" t="str">
        <f t="shared" si="46"/>
        <v>0.04</v>
      </c>
      <c r="K28" s="4" t="str">
        <f t="shared" si="47"/>
        <v>-0.04</v>
      </c>
      <c r="L28" s="4" t="str">
        <f t="shared" ref="L28:W28" si="52">"0.00"</f>
        <v>0.00</v>
      </c>
      <c r="M28" s="4" t="str">
        <f t="shared" si="8"/>
        <v>0.000</v>
      </c>
      <c r="N28" s="4" t="str">
        <f t="shared" si="49"/>
        <v>4.96</v>
      </c>
      <c r="O28" s="4" t="str">
        <f t="shared" si="9"/>
        <v>0</v>
      </c>
      <c r="P28" s="4" t="str">
        <f t="shared" si="52"/>
        <v>0.00</v>
      </c>
      <c r="Q28" s="4" t="str">
        <f t="shared" si="52"/>
        <v>0.00</v>
      </c>
      <c r="R28" s="4" t="str">
        <f t="shared" si="52"/>
        <v>0.00</v>
      </c>
      <c r="S28" s="4" t="str">
        <f t="shared" si="52"/>
        <v>0.00</v>
      </c>
      <c r="T28" s="4" t="str">
        <f t="shared" si="52"/>
        <v>0.00</v>
      </c>
      <c r="U28" s="4" t="str">
        <f t="shared" si="52"/>
        <v>0.00</v>
      </c>
      <c r="V28" s="4" t="str">
        <f t="shared" si="52"/>
        <v>0.00</v>
      </c>
      <c r="W28" s="4" t="str">
        <f t="shared" si="52"/>
        <v>0.00</v>
      </c>
      <c r="X28" s="4" t="str">
        <f t="shared" si="10"/>
        <v>0.00000</v>
      </c>
      <c r="Y28" s="4" t="str">
        <f t="shared" si="11"/>
        <v>0</v>
      </c>
      <c r="Z28" s="4" t="str">
        <f t="shared" si="12"/>
        <v>0</v>
      </c>
      <c r="AA28" s="4" t="str">
        <f t="shared" si="13"/>
        <v>人民币</v>
      </c>
      <c r="AB28" s="4" t="str">
        <f t="shared" si="14"/>
        <v>A368402599</v>
      </c>
    </row>
    <row r="29" spans="1:28">
      <c r="A29" s="4" t="str">
        <f>"20210809"</f>
        <v>20210809</v>
      </c>
      <c r="B29" s="4" t="str">
        <f>"20210809"</f>
        <v>20210809</v>
      </c>
      <c r="C29" s="4" t="str">
        <f t="shared" si="0"/>
        <v>0</v>
      </c>
      <c r="D29" s="4" t="str">
        <f t="shared" si="1"/>
        <v>00:00:00</v>
      </c>
      <c r="E29" s="4" t="str">
        <f t="shared" si="2"/>
        <v>港股通组合费</v>
      </c>
      <c r="F29" s="4" t="str">
        <f t="shared" si="3"/>
        <v/>
      </c>
      <c r="G29" s="4" t="str">
        <f t="shared" si="4"/>
        <v/>
      </c>
      <c r="H29" s="4" t="str">
        <f t="shared" si="5"/>
        <v>0.00</v>
      </c>
      <c r="I29" s="4" t="str">
        <f t="shared" si="6"/>
        <v>0</v>
      </c>
      <c r="J29" s="4" t="str">
        <f>"0.12"</f>
        <v>0.12</v>
      </c>
      <c r="K29" s="4" t="str">
        <f>"-0.12"</f>
        <v>-0.12</v>
      </c>
      <c r="L29" s="4" t="str">
        <f t="shared" ref="L29:W29" si="53">"0.00"</f>
        <v>0.00</v>
      </c>
      <c r="M29" s="4" t="str">
        <f t="shared" si="8"/>
        <v>0.000</v>
      </c>
      <c r="N29" s="4" t="str">
        <f>"11783.32"</f>
        <v>11783.32</v>
      </c>
      <c r="O29" s="4" t="str">
        <f t="shared" si="9"/>
        <v>0</v>
      </c>
      <c r="P29" s="4" t="str">
        <f t="shared" si="53"/>
        <v>0.00</v>
      </c>
      <c r="Q29" s="4" t="str">
        <f t="shared" si="53"/>
        <v>0.00</v>
      </c>
      <c r="R29" s="4" t="str">
        <f t="shared" si="53"/>
        <v>0.00</v>
      </c>
      <c r="S29" s="4" t="str">
        <f t="shared" si="53"/>
        <v>0.00</v>
      </c>
      <c r="T29" s="4" t="str">
        <f t="shared" si="53"/>
        <v>0.00</v>
      </c>
      <c r="U29" s="4" t="str">
        <f t="shared" si="53"/>
        <v>0.00</v>
      </c>
      <c r="V29" s="4" t="str">
        <f t="shared" si="53"/>
        <v>0.00</v>
      </c>
      <c r="W29" s="4" t="str">
        <f t="shared" si="53"/>
        <v>0.00</v>
      </c>
      <c r="X29" s="4" t="str">
        <f t="shared" si="10"/>
        <v>0.00000</v>
      </c>
      <c r="Y29" s="4" t="str">
        <f t="shared" si="11"/>
        <v>0</v>
      </c>
      <c r="Z29" s="4" t="str">
        <f t="shared" si="12"/>
        <v>0</v>
      </c>
      <c r="AA29" s="4" t="str">
        <f t="shared" si="13"/>
        <v>人民币</v>
      </c>
      <c r="AB29" s="4" t="str">
        <f t="shared" si="14"/>
        <v>A368402599</v>
      </c>
    </row>
    <row r="30" spans="1:28">
      <c r="A30" s="4" t="str">
        <f>"20210810"</f>
        <v>20210810</v>
      </c>
      <c r="B30" s="4" t="str">
        <f>"20210810"</f>
        <v>20210810</v>
      </c>
      <c r="C30" s="4" t="str">
        <f t="shared" si="0"/>
        <v>0</v>
      </c>
      <c r="D30" s="4" t="str">
        <f t="shared" si="1"/>
        <v>00:00:00</v>
      </c>
      <c r="E30" s="4" t="str">
        <f t="shared" si="2"/>
        <v>港股通组合费</v>
      </c>
      <c r="F30" s="4" t="str">
        <f t="shared" si="3"/>
        <v/>
      </c>
      <c r="G30" s="4" t="str">
        <f t="shared" si="4"/>
        <v/>
      </c>
      <c r="H30" s="4" t="str">
        <f t="shared" si="5"/>
        <v>0.00</v>
      </c>
      <c r="I30" s="4" t="str">
        <f t="shared" si="6"/>
        <v>0</v>
      </c>
      <c r="J30" s="4" t="str">
        <f t="shared" ref="J30:J34" si="54">"0.04"</f>
        <v>0.04</v>
      </c>
      <c r="K30" s="4" t="str">
        <f t="shared" ref="K30:K34" si="55">"-0.04"</f>
        <v>-0.04</v>
      </c>
      <c r="L30" s="4" t="str">
        <f t="shared" ref="L30:W30" si="56">"0.00"</f>
        <v>0.00</v>
      </c>
      <c r="M30" s="4" t="str">
        <f t="shared" si="8"/>
        <v>0.000</v>
      </c>
      <c r="N30" s="4" t="str">
        <f>"11830.20"</f>
        <v>11830.20</v>
      </c>
      <c r="O30" s="4" t="str">
        <f t="shared" si="9"/>
        <v>0</v>
      </c>
      <c r="P30" s="4" t="str">
        <f t="shared" si="56"/>
        <v>0.00</v>
      </c>
      <c r="Q30" s="4" t="str">
        <f t="shared" si="56"/>
        <v>0.00</v>
      </c>
      <c r="R30" s="4" t="str">
        <f t="shared" si="56"/>
        <v>0.00</v>
      </c>
      <c r="S30" s="4" t="str">
        <f t="shared" si="56"/>
        <v>0.00</v>
      </c>
      <c r="T30" s="4" t="str">
        <f t="shared" si="56"/>
        <v>0.00</v>
      </c>
      <c r="U30" s="4" t="str">
        <f t="shared" si="56"/>
        <v>0.00</v>
      </c>
      <c r="V30" s="4" t="str">
        <f t="shared" si="56"/>
        <v>0.00</v>
      </c>
      <c r="W30" s="4" t="str">
        <f t="shared" si="56"/>
        <v>0.00</v>
      </c>
      <c r="X30" s="4" t="str">
        <f t="shared" si="10"/>
        <v>0.00000</v>
      </c>
      <c r="Y30" s="4" t="str">
        <f t="shared" si="11"/>
        <v>0</v>
      </c>
      <c r="Z30" s="4" t="str">
        <f t="shared" si="12"/>
        <v>0</v>
      </c>
      <c r="AA30" s="4" t="str">
        <f t="shared" si="13"/>
        <v>人民币</v>
      </c>
      <c r="AB30" s="4" t="str">
        <f t="shared" si="14"/>
        <v>A368402599</v>
      </c>
    </row>
    <row r="31" spans="1:28">
      <c r="A31" s="4" t="str">
        <f>"20210811"</f>
        <v>20210811</v>
      </c>
      <c r="B31" s="4" t="str">
        <f>"20210811"</f>
        <v>20210811</v>
      </c>
      <c r="C31" s="4" t="str">
        <f>"20210811"</f>
        <v>20210811</v>
      </c>
      <c r="D31" s="4" t="str">
        <f t="shared" si="1"/>
        <v>00:00:00</v>
      </c>
      <c r="E31" s="4" t="str">
        <f>"港股通红利发放"</f>
        <v>港股通红利发放</v>
      </c>
      <c r="F31" s="4" t="str">
        <f>"01099"</f>
        <v>01099</v>
      </c>
      <c r="G31" s="4" t="str">
        <f>"国药控股"</f>
        <v>国药控股</v>
      </c>
      <c r="H31" s="4" t="str">
        <f>"0.55"</f>
        <v>0.55</v>
      </c>
      <c r="I31" s="4" t="str">
        <f>"1200"</f>
        <v>1200</v>
      </c>
      <c r="J31" s="4" t="str">
        <f>"662.40"</f>
        <v>662.40</v>
      </c>
      <c r="K31" s="4" t="str">
        <f>"662.40"</f>
        <v>662.40</v>
      </c>
      <c r="L31" s="4" t="str">
        <f t="shared" ref="L31:W31" si="57">"0.00"</f>
        <v>0.00</v>
      </c>
      <c r="M31" s="4" t="str">
        <f t="shared" si="8"/>
        <v>0.000</v>
      </c>
      <c r="N31" s="4" t="str">
        <f>"12612.64"</f>
        <v>12612.64</v>
      </c>
      <c r="O31" s="4" t="str">
        <f>"1200"</f>
        <v>1200</v>
      </c>
      <c r="P31" s="4" t="str">
        <f t="shared" si="57"/>
        <v>0.00</v>
      </c>
      <c r="Q31" s="4" t="str">
        <f t="shared" si="57"/>
        <v>0.00</v>
      </c>
      <c r="R31" s="4" t="str">
        <f t="shared" si="57"/>
        <v>0.00</v>
      </c>
      <c r="S31" s="4" t="str">
        <f t="shared" si="57"/>
        <v>0.00</v>
      </c>
      <c r="T31" s="4" t="str">
        <f t="shared" si="57"/>
        <v>0.00</v>
      </c>
      <c r="U31" s="4" t="str">
        <f t="shared" si="57"/>
        <v>0.00</v>
      </c>
      <c r="V31" s="4" t="str">
        <f t="shared" si="57"/>
        <v>0.00</v>
      </c>
      <c r="W31" s="4" t="str">
        <f t="shared" si="57"/>
        <v>0.00</v>
      </c>
      <c r="X31" s="4" t="str">
        <f>"1.00000"</f>
        <v>1.00000</v>
      </c>
      <c r="Y31" s="4" t="str">
        <f>""</f>
        <v/>
      </c>
      <c r="Z31" s="4" t="str">
        <f t="shared" si="12"/>
        <v>0</v>
      </c>
      <c r="AA31" s="4" t="str">
        <f t="shared" si="13"/>
        <v>人民币</v>
      </c>
      <c r="AB31" s="4" t="str">
        <f t="shared" si="14"/>
        <v>A368402599</v>
      </c>
    </row>
    <row r="32" spans="1:28">
      <c r="A32" s="4" t="str">
        <f>"20210811"</f>
        <v>20210811</v>
      </c>
      <c r="B32" s="4" t="str">
        <f>"20210811"</f>
        <v>20210811</v>
      </c>
      <c r="C32" s="4" t="str">
        <f t="shared" ref="C32:C46" si="58">"0"</f>
        <v>0</v>
      </c>
      <c r="D32" s="4" t="str">
        <f t="shared" si="1"/>
        <v>00:00:00</v>
      </c>
      <c r="E32" s="4" t="str">
        <f t="shared" ref="E32:E46" si="59">"港股通组合费"</f>
        <v>港股通组合费</v>
      </c>
      <c r="F32" s="4" t="str">
        <f t="shared" ref="F32:F46" si="60">""</f>
        <v/>
      </c>
      <c r="G32" s="4" t="str">
        <f t="shared" ref="G32:G46" si="61">""</f>
        <v/>
      </c>
      <c r="H32" s="4" t="str">
        <f t="shared" ref="H32:H46" si="62">"0.00"</f>
        <v>0.00</v>
      </c>
      <c r="I32" s="4" t="str">
        <f t="shared" ref="I32:I46" si="63">"0"</f>
        <v>0</v>
      </c>
      <c r="J32" s="4" t="str">
        <f t="shared" si="54"/>
        <v>0.04</v>
      </c>
      <c r="K32" s="4" t="str">
        <f t="shared" si="55"/>
        <v>-0.04</v>
      </c>
      <c r="L32" s="4" t="str">
        <f t="shared" ref="L32:W32" si="64">"0.00"</f>
        <v>0.00</v>
      </c>
      <c r="M32" s="4" t="str">
        <f t="shared" si="8"/>
        <v>0.000</v>
      </c>
      <c r="N32" s="4" t="str">
        <f>"12612.60"</f>
        <v>12612.60</v>
      </c>
      <c r="O32" s="4" t="str">
        <f t="shared" ref="O32:O46" si="65">"0"</f>
        <v>0</v>
      </c>
      <c r="P32" s="4" t="str">
        <f t="shared" si="64"/>
        <v>0.00</v>
      </c>
      <c r="Q32" s="4" t="str">
        <f t="shared" si="64"/>
        <v>0.00</v>
      </c>
      <c r="R32" s="4" t="str">
        <f t="shared" si="64"/>
        <v>0.00</v>
      </c>
      <c r="S32" s="4" t="str">
        <f t="shared" si="64"/>
        <v>0.00</v>
      </c>
      <c r="T32" s="4" t="str">
        <f t="shared" si="64"/>
        <v>0.00</v>
      </c>
      <c r="U32" s="4" t="str">
        <f t="shared" si="64"/>
        <v>0.00</v>
      </c>
      <c r="V32" s="4" t="str">
        <f t="shared" si="64"/>
        <v>0.00</v>
      </c>
      <c r="W32" s="4" t="str">
        <f t="shared" si="64"/>
        <v>0.00</v>
      </c>
      <c r="X32" s="4" t="str">
        <f t="shared" ref="X32:X46" si="66">"0.00000"</f>
        <v>0.00000</v>
      </c>
      <c r="Y32" s="4" t="str">
        <f t="shared" ref="Y32:Y46" si="67">"0"</f>
        <v>0</v>
      </c>
      <c r="Z32" s="4" t="str">
        <f t="shared" si="12"/>
        <v>0</v>
      </c>
      <c r="AA32" s="4" t="str">
        <f t="shared" si="13"/>
        <v>人民币</v>
      </c>
      <c r="AB32" s="4" t="str">
        <f t="shared" si="14"/>
        <v>A368402599</v>
      </c>
    </row>
    <row r="33" spans="1:28">
      <c r="A33" s="4" t="str">
        <f>"20210812"</f>
        <v>20210812</v>
      </c>
      <c r="B33" s="4" t="str">
        <f>"20210812"</f>
        <v>20210812</v>
      </c>
      <c r="C33" s="4" t="str">
        <f t="shared" si="58"/>
        <v>0</v>
      </c>
      <c r="D33" s="4" t="str">
        <f t="shared" si="1"/>
        <v>00:00:00</v>
      </c>
      <c r="E33" s="4" t="str">
        <f t="shared" si="59"/>
        <v>港股通组合费</v>
      </c>
      <c r="F33" s="4" t="str">
        <f t="shared" si="60"/>
        <v/>
      </c>
      <c r="G33" s="4" t="str">
        <f t="shared" si="61"/>
        <v/>
      </c>
      <c r="H33" s="4" t="str">
        <f t="shared" si="62"/>
        <v>0.00</v>
      </c>
      <c r="I33" s="4" t="str">
        <f t="shared" si="63"/>
        <v>0</v>
      </c>
      <c r="J33" s="4" t="str">
        <f t="shared" si="54"/>
        <v>0.04</v>
      </c>
      <c r="K33" s="4" t="str">
        <f t="shared" si="55"/>
        <v>-0.04</v>
      </c>
      <c r="L33" s="4" t="str">
        <f t="shared" ref="L33:W33" si="68">"0.00"</f>
        <v>0.00</v>
      </c>
      <c r="M33" s="4" t="str">
        <f t="shared" si="8"/>
        <v>0.000</v>
      </c>
      <c r="N33" s="4" t="str">
        <f>"12070.20"</f>
        <v>12070.20</v>
      </c>
      <c r="O33" s="4" t="str">
        <f t="shared" si="65"/>
        <v>0</v>
      </c>
      <c r="P33" s="4" t="str">
        <f t="shared" si="68"/>
        <v>0.00</v>
      </c>
      <c r="Q33" s="4" t="str">
        <f t="shared" si="68"/>
        <v>0.00</v>
      </c>
      <c r="R33" s="4" t="str">
        <f t="shared" si="68"/>
        <v>0.00</v>
      </c>
      <c r="S33" s="4" t="str">
        <f t="shared" si="68"/>
        <v>0.00</v>
      </c>
      <c r="T33" s="4" t="str">
        <f t="shared" si="68"/>
        <v>0.00</v>
      </c>
      <c r="U33" s="4" t="str">
        <f t="shared" si="68"/>
        <v>0.00</v>
      </c>
      <c r="V33" s="4" t="str">
        <f t="shared" si="68"/>
        <v>0.00</v>
      </c>
      <c r="W33" s="4" t="str">
        <f t="shared" si="68"/>
        <v>0.00</v>
      </c>
      <c r="X33" s="4" t="str">
        <f t="shared" si="66"/>
        <v>0.00000</v>
      </c>
      <c r="Y33" s="4" t="str">
        <f t="shared" si="67"/>
        <v>0</v>
      </c>
      <c r="Z33" s="4" t="str">
        <f t="shared" si="12"/>
        <v>0</v>
      </c>
      <c r="AA33" s="4" t="str">
        <f t="shared" si="13"/>
        <v>人民币</v>
      </c>
      <c r="AB33" s="4" t="str">
        <f t="shared" si="14"/>
        <v>A368402599</v>
      </c>
    </row>
    <row r="34" spans="1:28">
      <c r="A34" s="4" t="str">
        <f>"20210813"</f>
        <v>20210813</v>
      </c>
      <c r="B34" s="4" t="str">
        <f>"20210813"</f>
        <v>20210813</v>
      </c>
      <c r="C34" s="4" t="str">
        <f t="shared" si="58"/>
        <v>0</v>
      </c>
      <c r="D34" s="4" t="str">
        <f t="shared" si="1"/>
        <v>00:00:00</v>
      </c>
      <c r="E34" s="4" t="str">
        <f t="shared" si="59"/>
        <v>港股通组合费</v>
      </c>
      <c r="F34" s="4" t="str">
        <f t="shared" si="60"/>
        <v/>
      </c>
      <c r="G34" s="4" t="str">
        <f t="shared" si="61"/>
        <v/>
      </c>
      <c r="H34" s="4" t="str">
        <f t="shared" si="62"/>
        <v>0.00</v>
      </c>
      <c r="I34" s="4" t="str">
        <f t="shared" si="63"/>
        <v>0</v>
      </c>
      <c r="J34" s="4" t="str">
        <f t="shared" si="54"/>
        <v>0.04</v>
      </c>
      <c r="K34" s="4" t="str">
        <f t="shared" si="55"/>
        <v>-0.04</v>
      </c>
      <c r="L34" s="4" t="str">
        <f t="shared" ref="L34:W34" si="69">"0.00"</f>
        <v>0.00</v>
      </c>
      <c r="M34" s="4" t="str">
        <f t="shared" si="8"/>
        <v>0.000</v>
      </c>
      <c r="N34" s="4" t="str">
        <f>"11950.20"</f>
        <v>11950.20</v>
      </c>
      <c r="O34" s="4" t="str">
        <f t="shared" si="65"/>
        <v>0</v>
      </c>
      <c r="P34" s="4" t="str">
        <f t="shared" si="69"/>
        <v>0.00</v>
      </c>
      <c r="Q34" s="4" t="str">
        <f t="shared" si="69"/>
        <v>0.00</v>
      </c>
      <c r="R34" s="4" t="str">
        <f t="shared" si="69"/>
        <v>0.00</v>
      </c>
      <c r="S34" s="4" t="str">
        <f t="shared" si="69"/>
        <v>0.00</v>
      </c>
      <c r="T34" s="4" t="str">
        <f t="shared" si="69"/>
        <v>0.00</v>
      </c>
      <c r="U34" s="4" t="str">
        <f t="shared" si="69"/>
        <v>0.00</v>
      </c>
      <c r="V34" s="4" t="str">
        <f t="shared" si="69"/>
        <v>0.00</v>
      </c>
      <c r="W34" s="4" t="str">
        <f t="shared" si="69"/>
        <v>0.00</v>
      </c>
      <c r="X34" s="4" t="str">
        <f t="shared" si="66"/>
        <v>0.00000</v>
      </c>
      <c r="Y34" s="4" t="str">
        <f t="shared" si="67"/>
        <v>0</v>
      </c>
      <c r="Z34" s="4" t="str">
        <f t="shared" si="12"/>
        <v>0</v>
      </c>
      <c r="AA34" s="4" t="str">
        <f t="shared" si="13"/>
        <v>人民币</v>
      </c>
      <c r="AB34" s="4" t="str">
        <f t="shared" si="14"/>
        <v>A368402599</v>
      </c>
    </row>
    <row r="35" spans="1:28">
      <c r="A35" s="4" t="str">
        <f>"20210816"</f>
        <v>20210816</v>
      </c>
      <c r="B35" s="4" t="str">
        <f>"20210816"</f>
        <v>20210816</v>
      </c>
      <c r="C35" s="4" t="str">
        <f t="shared" si="58"/>
        <v>0</v>
      </c>
      <c r="D35" s="4" t="str">
        <f t="shared" si="1"/>
        <v>00:00:00</v>
      </c>
      <c r="E35" s="4" t="str">
        <f t="shared" si="59"/>
        <v>港股通组合费</v>
      </c>
      <c r="F35" s="4" t="str">
        <f t="shared" si="60"/>
        <v/>
      </c>
      <c r="G35" s="4" t="str">
        <f t="shared" si="61"/>
        <v/>
      </c>
      <c r="H35" s="4" t="str">
        <f t="shared" si="62"/>
        <v>0.00</v>
      </c>
      <c r="I35" s="4" t="str">
        <f t="shared" si="63"/>
        <v>0</v>
      </c>
      <c r="J35" s="4" t="str">
        <f>"0.12"</f>
        <v>0.12</v>
      </c>
      <c r="K35" s="4" t="str">
        <f>"-0.12"</f>
        <v>-0.12</v>
      </c>
      <c r="L35" s="4" t="str">
        <f t="shared" ref="L35:W35" si="70">"0.00"</f>
        <v>0.00</v>
      </c>
      <c r="M35" s="4" t="str">
        <f t="shared" si="8"/>
        <v>0.000</v>
      </c>
      <c r="N35" s="4" t="str">
        <f>"12070.12"</f>
        <v>12070.12</v>
      </c>
      <c r="O35" s="4" t="str">
        <f t="shared" si="65"/>
        <v>0</v>
      </c>
      <c r="P35" s="4" t="str">
        <f t="shared" si="70"/>
        <v>0.00</v>
      </c>
      <c r="Q35" s="4" t="str">
        <f t="shared" si="70"/>
        <v>0.00</v>
      </c>
      <c r="R35" s="4" t="str">
        <f t="shared" si="70"/>
        <v>0.00</v>
      </c>
      <c r="S35" s="4" t="str">
        <f t="shared" si="70"/>
        <v>0.00</v>
      </c>
      <c r="T35" s="4" t="str">
        <f t="shared" si="70"/>
        <v>0.00</v>
      </c>
      <c r="U35" s="4" t="str">
        <f t="shared" si="70"/>
        <v>0.00</v>
      </c>
      <c r="V35" s="4" t="str">
        <f t="shared" si="70"/>
        <v>0.00</v>
      </c>
      <c r="W35" s="4" t="str">
        <f t="shared" si="70"/>
        <v>0.00</v>
      </c>
      <c r="X35" s="4" t="str">
        <f t="shared" si="66"/>
        <v>0.00000</v>
      </c>
      <c r="Y35" s="4" t="str">
        <f t="shared" si="67"/>
        <v>0</v>
      </c>
      <c r="Z35" s="4" t="str">
        <f t="shared" si="12"/>
        <v>0</v>
      </c>
      <c r="AA35" s="4" t="str">
        <f t="shared" si="13"/>
        <v>人民币</v>
      </c>
      <c r="AB35" s="4" t="str">
        <f t="shared" si="14"/>
        <v>A368402599</v>
      </c>
    </row>
    <row r="36" spans="1:28">
      <c r="A36" s="4" t="str">
        <f>"20210817"</f>
        <v>20210817</v>
      </c>
      <c r="B36" s="4" t="str">
        <f>"20210817"</f>
        <v>20210817</v>
      </c>
      <c r="C36" s="4" t="str">
        <f t="shared" si="58"/>
        <v>0</v>
      </c>
      <c r="D36" s="4" t="str">
        <f t="shared" si="1"/>
        <v>00:00:00</v>
      </c>
      <c r="E36" s="4" t="str">
        <f t="shared" si="59"/>
        <v>港股通组合费</v>
      </c>
      <c r="F36" s="4" t="str">
        <f t="shared" si="60"/>
        <v/>
      </c>
      <c r="G36" s="4" t="str">
        <f t="shared" si="61"/>
        <v/>
      </c>
      <c r="H36" s="4" t="str">
        <f t="shared" si="62"/>
        <v>0.00</v>
      </c>
      <c r="I36" s="4" t="str">
        <f t="shared" si="63"/>
        <v>0</v>
      </c>
      <c r="J36" s="4" t="str">
        <f t="shared" ref="J36:J39" si="71">"0.04"</f>
        <v>0.04</v>
      </c>
      <c r="K36" s="4" t="str">
        <f t="shared" ref="K36:K39" si="72">"-0.04"</f>
        <v>-0.04</v>
      </c>
      <c r="L36" s="4" t="str">
        <f t="shared" ref="L36:W36" si="73">"0.00"</f>
        <v>0.00</v>
      </c>
      <c r="M36" s="4" t="str">
        <f t="shared" si="8"/>
        <v>0.000</v>
      </c>
      <c r="N36" s="4" t="str">
        <f>"12167.29"</f>
        <v>12167.29</v>
      </c>
      <c r="O36" s="4" t="str">
        <f t="shared" si="65"/>
        <v>0</v>
      </c>
      <c r="P36" s="4" t="str">
        <f t="shared" si="73"/>
        <v>0.00</v>
      </c>
      <c r="Q36" s="4" t="str">
        <f t="shared" si="73"/>
        <v>0.00</v>
      </c>
      <c r="R36" s="4" t="str">
        <f t="shared" si="73"/>
        <v>0.00</v>
      </c>
      <c r="S36" s="4" t="str">
        <f t="shared" si="73"/>
        <v>0.00</v>
      </c>
      <c r="T36" s="4" t="str">
        <f t="shared" si="73"/>
        <v>0.00</v>
      </c>
      <c r="U36" s="4" t="str">
        <f t="shared" si="73"/>
        <v>0.00</v>
      </c>
      <c r="V36" s="4" t="str">
        <f t="shared" si="73"/>
        <v>0.00</v>
      </c>
      <c r="W36" s="4" t="str">
        <f t="shared" si="73"/>
        <v>0.00</v>
      </c>
      <c r="X36" s="4" t="str">
        <f t="shared" si="66"/>
        <v>0.00000</v>
      </c>
      <c r="Y36" s="4" t="str">
        <f t="shared" si="67"/>
        <v>0</v>
      </c>
      <c r="Z36" s="4" t="str">
        <f t="shared" si="12"/>
        <v>0</v>
      </c>
      <c r="AA36" s="4" t="str">
        <f t="shared" si="13"/>
        <v>人民币</v>
      </c>
      <c r="AB36" s="4" t="str">
        <f t="shared" si="14"/>
        <v>A368402599</v>
      </c>
    </row>
    <row r="37" spans="1:28">
      <c r="A37" s="4" t="str">
        <f>"20210818"</f>
        <v>20210818</v>
      </c>
      <c r="B37" s="4" t="str">
        <f>"20210818"</f>
        <v>20210818</v>
      </c>
      <c r="C37" s="4" t="str">
        <f t="shared" si="58"/>
        <v>0</v>
      </c>
      <c r="D37" s="4" t="str">
        <f t="shared" si="1"/>
        <v>00:00:00</v>
      </c>
      <c r="E37" s="4" t="str">
        <f t="shared" si="59"/>
        <v>港股通组合费</v>
      </c>
      <c r="F37" s="4" t="str">
        <f t="shared" si="60"/>
        <v/>
      </c>
      <c r="G37" s="4" t="str">
        <f t="shared" si="61"/>
        <v/>
      </c>
      <c r="H37" s="4" t="str">
        <f t="shared" si="62"/>
        <v>0.00</v>
      </c>
      <c r="I37" s="4" t="str">
        <f t="shared" si="63"/>
        <v>0</v>
      </c>
      <c r="J37" s="4" t="str">
        <f t="shared" si="71"/>
        <v>0.04</v>
      </c>
      <c r="K37" s="4" t="str">
        <f t="shared" si="72"/>
        <v>-0.04</v>
      </c>
      <c r="L37" s="4" t="str">
        <f t="shared" ref="L37:W37" si="74">"0.00"</f>
        <v>0.00</v>
      </c>
      <c r="M37" s="4" t="str">
        <f t="shared" si="8"/>
        <v>0.000</v>
      </c>
      <c r="N37" s="4" t="str">
        <f>"12167.25"</f>
        <v>12167.25</v>
      </c>
      <c r="O37" s="4" t="str">
        <f t="shared" si="65"/>
        <v>0</v>
      </c>
      <c r="P37" s="4" t="str">
        <f t="shared" si="74"/>
        <v>0.00</v>
      </c>
      <c r="Q37" s="4" t="str">
        <f t="shared" si="74"/>
        <v>0.00</v>
      </c>
      <c r="R37" s="4" t="str">
        <f t="shared" si="74"/>
        <v>0.00</v>
      </c>
      <c r="S37" s="4" t="str">
        <f t="shared" si="74"/>
        <v>0.00</v>
      </c>
      <c r="T37" s="4" t="str">
        <f t="shared" si="74"/>
        <v>0.00</v>
      </c>
      <c r="U37" s="4" t="str">
        <f t="shared" si="74"/>
        <v>0.00</v>
      </c>
      <c r="V37" s="4" t="str">
        <f t="shared" si="74"/>
        <v>0.00</v>
      </c>
      <c r="W37" s="4" t="str">
        <f t="shared" si="74"/>
        <v>0.00</v>
      </c>
      <c r="X37" s="4" t="str">
        <f t="shared" si="66"/>
        <v>0.00000</v>
      </c>
      <c r="Y37" s="4" t="str">
        <f t="shared" si="67"/>
        <v>0</v>
      </c>
      <c r="Z37" s="4" t="str">
        <f t="shared" si="12"/>
        <v>0</v>
      </c>
      <c r="AA37" s="4" t="str">
        <f t="shared" si="13"/>
        <v>人民币</v>
      </c>
      <c r="AB37" s="4" t="str">
        <f t="shared" si="14"/>
        <v>A368402599</v>
      </c>
    </row>
    <row r="38" spans="1:28">
      <c r="A38" s="4" t="str">
        <f>"20210819"</f>
        <v>20210819</v>
      </c>
      <c r="B38" s="4" t="str">
        <f>"20210819"</f>
        <v>20210819</v>
      </c>
      <c r="C38" s="4" t="str">
        <f t="shared" si="58"/>
        <v>0</v>
      </c>
      <c r="D38" s="4" t="str">
        <f t="shared" si="1"/>
        <v>00:00:00</v>
      </c>
      <c r="E38" s="4" t="str">
        <f t="shared" si="59"/>
        <v>港股通组合费</v>
      </c>
      <c r="F38" s="4" t="str">
        <f t="shared" si="60"/>
        <v/>
      </c>
      <c r="G38" s="4" t="str">
        <f t="shared" si="61"/>
        <v/>
      </c>
      <c r="H38" s="4" t="str">
        <f t="shared" si="62"/>
        <v>0.00</v>
      </c>
      <c r="I38" s="4" t="str">
        <f t="shared" si="63"/>
        <v>0</v>
      </c>
      <c r="J38" s="4" t="str">
        <f t="shared" si="71"/>
        <v>0.04</v>
      </c>
      <c r="K38" s="4" t="str">
        <f t="shared" si="72"/>
        <v>-0.04</v>
      </c>
      <c r="L38" s="4" t="str">
        <f t="shared" ref="L38:W38" si="75">"0.00"</f>
        <v>0.00</v>
      </c>
      <c r="M38" s="4" t="str">
        <f t="shared" si="8"/>
        <v>0.000</v>
      </c>
      <c r="N38" s="4" t="str">
        <f>"11740.19"</f>
        <v>11740.19</v>
      </c>
      <c r="O38" s="4" t="str">
        <f t="shared" si="65"/>
        <v>0</v>
      </c>
      <c r="P38" s="4" t="str">
        <f t="shared" si="75"/>
        <v>0.00</v>
      </c>
      <c r="Q38" s="4" t="str">
        <f t="shared" si="75"/>
        <v>0.00</v>
      </c>
      <c r="R38" s="4" t="str">
        <f t="shared" si="75"/>
        <v>0.00</v>
      </c>
      <c r="S38" s="4" t="str">
        <f t="shared" si="75"/>
        <v>0.00</v>
      </c>
      <c r="T38" s="4" t="str">
        <f t="shared" si="75"/>
        <v>0.00</v>
      </c>
      <c r="U38" s="4" t="str">
        <f t="shared" si="75"/>
        <v>0.00</v>
      </c>
      <c r="V38" s="4" t="str">
        <f t="shared" si="75"/>
        <v>0.00</v>
      </c>
      <c r="W38" s="4" t="str">
        <f t="shared" si="75"/>
        <v>0.00</v>
      </c>
      <c r="X38" s="4" t="str">
        <f t="shared" si="66"/>
        <v>0.00000</v>
      </c>
      <c r="Y38" s="4" t="str">
        <f t="shared" si="67"/>
        <v>0</v>
      </c>
      <c r="Z38" s="4" t="str">
        <f t="shared" si="12"/>
        <v>0</v>
      </c>
      <c r="AA38" s="4" t="str">
        <f t="shared" si="13"/>
        <v>人民币</v>
      </c>
      <c r="AB38" s="4" t="str">
        <f t="shared" si="14"/>
        <v>A368402599</v>
      </c>
    </row>
    <row r="39" spans="1:28">
      <c r="A39" s="4" t="str">
        <f>"20210820"</f>
        <v>20210820</v>
      </c>
      <c r="B39" s="4" t="str">
        <f>"20210820"</f>
        <v>20210820</v>
      </c>
      <c r="C39" s="4" t="str">
        <f t="shared" si="58"/>
        <v>0</v>
      </c>
      <c r="D39" s="4" t="str">
        <f t="shared" si="1"/>
        <v>00:00:00</v>
      </c>
      <c r="E39" s="4" t="str">
        <f t="shared" si="59"/>
        <v>港股通组合费</v>
      </c>
      <c r="F39" s="4" t="str">
        <f t="shared" si="60"/>
        <v/>
      </c>
      <c r="G39" s="4" t="str">
        <f t="shared" si="61"/>
        <v/>
      </c>
      <c r="H39" s="4" t="str">
        <f t="shared" si="62"/>
        <v>0.00</v>
      </c>
      <c r="I39" s="4" t="str">
        <f t="shared" si="63"/>
        <v>0</v>
      </c>
      <c r="J39" s="4" t="str">
        <f t="shared" si="71"/>
        <v>0.04</v>
      </c>
      <c r="K39" s="4" t="str">
        <f t="shared" si="72"/>
        <v>-0.04</v>
      </c>
      <c r="L39" s="4" t="str">
        <f t="shared" ref="L39:W39" si="76">"0.00"</f>
        <v>0.00</v>
      </c>
      <c r="M39" s="4" t="str">
        <f t="shared" si="8"/>
        <v>0.000</v>
      </c>
      <c r="N39" s="4" t="str">
        <f>"11740.19"</f>
        <v>11740.19</v>
      </c>
      <c r="O39" s="4" t="str">
        <f t="shared" si="65"/>
        <v>0</v>
      </c>
      <c r="P39" s="4" t="str">
        <f t="shared" si="76"/>
        <v>0.00</v>
      </c>
      <c r="Q39" s="4" t="str">
        <f t="shared" si="76"/>
        <v>0.00</v>
      </c>
      <c r="R39" s="4" t="str">
        <f t="shared" si="76"/>
        <v>0.00</v>
      </c>
      <c r="S39" s="4" t="str">
        <f t="shared" si="76"/>
        <v>0.00</v>
      </c>
      <c r="T39" s="4" t="str">
        <f t="shared" si="76"/>
        <v>0.00</v>
      </c>
      <c r="U39" s="4" t="str">
        <f t="shared" si="76"/>
        <v>0.00</v>
      </c>
      <c r="V39" s="4" t="str">
        <f t="shared" si="76"/>
        <v>0.00</v>
      </c>
      <c r="W39" s="4" t="str">
        <f t="shared" si="76"/>
        <v>0.00</v>
      </c>
      <c r="X39" s="4" t="str">
        <f t="shared" si="66"/>
        <v>0.00000</v>
      </c>
      <c r="Y39" s="4" t="str">
        <f t="shared" si="67"/>
        <v>0</v>
      </c>
      <c r="Z39" s="4" t="str">
        <f t="shared" si="12"/>
        <v>0</v>
      </c>
      <c r="AA39" s="4" t="str">
        <f t="shared" si="13"/>
        <v>人民币</v>
      </c>
      <c r="AB39" s="4" t="str">
        <f t="shared" si="14"/>
        <v>A368402599</v>
      </c>
    </row>
    <row r="40" spans="1:28">
      <c r="A40" s="4" t="str">
        <f>"20210823"</f>
        <v>20210823</v>
      </c>
      <c r="B40" s="4" t="str">
        <f>"20210823"</f>
        <v>20210823</v>
      </c>
      <c r="C40" s="4" t="str">
        <f t="shared" si="58"/>
        <v>0</v>
      </c>
      <c r="D40" s="4" t="str">
        <f t="shared" si="1"/>
        <v>00:00:00</v>
      </c>
      <c r="E40" s="4" t="str">
        <f t="shared" si="59"/>
        <v>港股通组合费</v>
      </c>
      <c r="F40" s="4" t="str">
        <f t="shared" si="60"/>
        <v/>
      </c>
      <c r="G40" s="4" t="str">
        <f t="shared" si="61"/>
        <v/>
      </c>
      <c r="H40" s="4" t="str">
        <f t="shared" si="62"/>
        <v>0.00</v>
      </c>
      <c r="I40" s="4" t="str">
        <f t="shared" si="63"/>
        <v>0</v>
      </c>
      <c r="J40" s="4" t="str">
        <f>"0.13"</f>
        <v>0.13</v>
      </c>
      <c r="K40" s="4" t="str">
        <f>"-0.13"</f>
        <v>-0.13</v>
      </c>
      <c r="L40" s="4" t="str">
        <f t="shared" ref="L40:W40" si="77">"0.00"</f>
        <v>0.00</v>
      </c>
      <c r="M40" s="4" t="str">
        <f t="shared" si="8"/>
        <v>0.000</v>
      </c>
      <c r="N40" s="4" t="str">
        <f>"11740.10"</f>
        <v>11740.10</v>
      </c>
      <c r="O40" s="4" t="str">
        <f t="shared" si="65"/>
        <v>0</v>
      </c>
      <c r="P40" s="4" t="str">
        <f t="shared" si="77"/>
        <v>0.00</v>
      </c>
      <c r="Q40" s="4" t="str">
        <f t="shared" si="77"/>
        <v>0.00</v>
      </c>
      <c r="R40" s="4" t="str">
        <f t="shared" si="77"/>
        <v>0.00</v>
      </c>
      <c r="S40" s="4" t="str">
        <f t="shared" si="77"/>
        <v>0.00</v>
      </c>
      <c r="T40" s="4" t="str">
        <f t="shared" si="77"/>
        <v>0.00</v>
      </c>
      <c r="U40" s="4" t="str">
        <f t="shared" si="77"/>
        <v>0.00</v>
      </c>
      <c r="V40" s="4" t="str">
        <f t="shared" si="77"/>
        <v>0.00</v>
      </c>
      <c r="W40" s="4" t="str">
        <f t="shared" si="77"/>
        <v>0.00</v>
      </c>
      <c r="X40" s="4" t="str">
        <f t="shared" si="66"/>
        <v>0.00000</v>
      </c>
      <c r="Y40" s="4" t="str">
        <f t="shared" si="67"/>
        <v>0</v>
      </c>
      <c r="Z40" s="4" t="str">
        <f t="shared" si="12"/>
        <v>0</v>
      </c>
      <c r="AA40" s="4" t="str">
        <f t="shared" si="13"/>
        <v>人民币</v>
      </c>
      <c r="AB40" s="4" t="str">
        <f t="shared" si="14"/>
        <v>A368402599</v>
      </c>
    </row>
    <row r="41" spans="1:28">
      <c r="A41" s="4" t="str">
        <f>"20210824"</f>
        <v>20210824</v>
      </c>
      <c r="B41" s="4" t="str">
        <f>"20210824"</f>
        <v>20210824</v>
      </c>
      <c r="C41" s="4" t="str">
        <f t="shared" si="58"/>
        <v>0</v>
      </c>
      <c r="D41" s="4" t="str">
        <f t="shared" si="1"/>
        <v>00:00:00</v>
      </c>
      <c r="E41" s="4" t="str">
        <f t="shared" si="59"/>
        <v>港股通组合费</v>
      </c>
      <c r="F41" s="4" t="str">
        <f t="shared" si="60"/>
        <v/>
      </c>
      <c r="G41" s="4" t="str">
        <f t="shared" si="61"/>
        <v/>
      </c>
      <c r="H41" s="4" t="str">
        <f t="shared" si="62"/>
        <v>0.00</v>
      </c>
      <c r="I41" s="4" t="str">
        <f t="shared" si="63"/>
        <v>0</v>
      </c>
      <c r="J41" s="4" t="str">
        <f t="shared" ref="J41:J44" si="78">"0.04"</f>
        <v>0.04</v>
      </c>
      <c r="K41" s="4" t="str">
        <f t="shared" ref="K41:K44" si="79">"-0.04"</f>
        <v>-0.04</v>
      </c>
      <c r="L41" s="4" t="str">
        <f t="shared" ref="L41:W41" si="80">"0.00"</f>
        <v>0.00</v>
      </c>
      <c r="M41" s="4" t="str">
        <f t="shared" si="8"/>
        <v>0.000</v>
      </c>
      <c r="N41" s="4" t="str">
        <f>"11890.20"</f>
        <v>11890.20</v>
      </c>
      <c r="O41" s="4" t="str">
        <f t="shared" si="65"/>
        <v>0</v>
      </c>
      <c r="P41" s="4" t="str">
        <f t="shared" si="80"/>
        <v>0.00</v>
      </c>
      <c r="Q41" s="4" t="str">
        <f t="shared" si="80"/>
        <v>0.00</v>
      </c>
      <c r="R41" s="4" t="str">
        <f t="shared" si="80"/>
        <v>0.00</v>
      </c>
      <c r="S41" s="4" t="str">
        <f t="shared" si="80"/>
        <v>0.00</v>
      </c>
      <c r="T41" s="4" t="str">
        <f t="shared" si="80"/>
        <v>0.00</v>
      </c>
      <c r="U41" s="4" t="str">
        <f t="shared" si="80"/>
        <v>0.00</v>
      </c>
      <c r="V41" s="4" t="str">
        <f t="shared" si="80"/>
        <v>0.00</v>
      </c>
      <c r="W41" s="4" t="str">
        <f t="shared" si="80"/>
        <v>0.00</v>
      </c>
      <c r="X41" s="4" t="str">
        <f t="shared" si="66"/>
        <v>0.00000</v>
      </c>
      <c r="Y41" s="4" t="str">
        <f t="shared" si="67"/>
        <v>0</v>
      </c>
      <c r="Z41" s="4" t="str">
        <f t="shared" si="12"/>
        <v>0</v>
      </c>
      <c r="AA41" s="4" t="str">
        <f t="shared" si="13"/>
        <v>人民币</v>
      </c>
      <c r="AB41" s="4" t="str">
        <f t="shared" si="14"/>
        <v>A368402599</v>
      </c>
    </row>
    <row r="42" spans="1:28">
      <c r="A42" s="4" t="str">
        <f>"20210825"</f>
        <v>20210825</v>
      </c>
      <c r="B42" s="4" t="str">
        <f>"20210825"</f>
        <v>20210825</v>
      </c>
      <c r="C42" s="4" t="str">
        <f t="shared" si="58"/>
        <v>0</v>
      </c>
      <c r="D42" s="4" t="str">
        <f t="shared" si="1"/>
        <v>00:00:00</v>
      </c>
      <c r="E42" s="4" t="str">
        <f t="shared" si="59"/>
        <v>港股通组合费</v>
      </c>
      <c r="F42" s="4" t="str">
        <f t="shared" si="60"/>
        <v/>
      </c>
      <c r="G42" s="4" t="str">
        <f t="shared" si="61"/>
        <v/>
      </c>
      <c r="H42" s="4" t="str">
        <f t="shared" si="62"/>
        <v>0.00</v>
      </c>
      <c r="I42" s="4" t="str">
        <f t="shared" si="63"/>
        <v>0</v>
      </c>
      <c r="J42" s="4" t="str">
        <f t="shared" si="78"/>
        <v>0.04</v>
      </c>
      <c r="K42" s="4" t="str">
        <f t="shared" si="79"/>
        <v>-0.04</v>
      </c>
      <c r="L42" s="4" t="str">
        <f t="shared" ref="L42:W42" si="81">"0.00"</f>
        <v>0.00</v>
      </c>
      <c r="M42" s="4" t="str">
        <f t="shared" si="8"/>
        <v>0.000</v>
      </c>
      <c r="N42" s="4" t="str">
        <f>"11890.20"</f>
        <v>11890.20</v>
      </c>
      <c r="O42" s="4" t="str">
        <f t="shared" si="65"/>
        <v>0</v>
      </c>
      <c r="P42" s="4" t="str">
        <f t="shared" si="81"/>
        <v>0.00</v>
      </c>
      <c r="Q42" s="4" t="str">
        <f t="shared" si="81"/>
        <v>0.00</v>
      </c>
      <c r="R42" s="4" t="str">
        <f t="shared" si="81"/>
        <v>0.00</v>
      </c>
      <c r="S42" s="4" t="str">
        <f t="shared" si="81"/>
        <v>0.00</v>
      </c>
      <c r="T42" s="4" t="str">
        <f t="shared" si="81"/>
        <v>0.00</v>
      </c>
      <c r="U42" s="4" t="str">
        <f t="shared" si="81"/>
        <v>0.00</v>
      </c>
      <c r="V42" s="4" t="str">
        <f t="shared" si="81"/>
        <v>0.00</v>
      </c>
      <c r="W42" s="4" t="str">
        <f t="shared" si="81"/>
        <v>0.00</v>
      </c>
      <c r="X42" s="4" t="str">
        <f t="shared" si="66"/>
        <v>0.00000</v>
      </c>
      <c r="Y42" s="4" t="str">
        <f t="shared" si="67"/>
        <v>0</v>
      </c>
      <c r="Z42" s="4" t="str">
        <f t="shared" si="12"/>
        <v>0</v>
      </c>
      <c r="AA42" s="4" t="str">
        <f t="shared" si="13"/>
        <v>人民币</v>
      </c>
      <c r="AB42" s="4" t="str">
        <f t="shared" si="14"/>
        <v>A368402599</v>
      </c>
    </row>
    <row r="43" spans="1:28">
      <c r="A43" s="4" t="str">
        <f>"20210826"</f>
        <v>20210826</v>
      </c>
      <c r="B43" s="4" t="str">
        <f>"20210826"</f>
        <v>20210826</v>
      </c>
      <c r="C43" s="4" t="str">
        <f t="shared" si="58"/>
        <v>0</v>
      </c>
      <c r="D43" s="4" t="str">
        <f t="shared" si="1"/>
        <v>00:00:00</v>
      </c>
      <c r="E43" s="4" t="str">
        <f t="shared" si="59"/>
        <v>港股通组合费</v>
      </c>
      <c r="F43" s="4" t="str">
        <f t="shared" si="60"/>
        <v/>
      </c>
      <c r="G43" s="4" t="str">
        <f t="shared" si="61"/>
        <v/>
      </c>
      <c r="H43" s="4" t="str">
        <f t="shared" si="62"/>
        <v>0.00</v>
      </c>
      <c r="I43" s="4" t="str">
        <f t="shared" si="63"/>
        <v>0</v>
      </c>
      <c r="J43" s="4" t="str">
        <f t="shared" si="78"/>
        <v>0.04</v>
      </c>
      <c r="K43" s="4" t="str">
        <f t="shared" si="79"/>
        <v>-0.04</v>
      </c>
      <c r="L43" s="4" t="str">
        <f t="shared" ref="L43:W43" si="82">"0.00"</f>
        <v>0.00</v>
      </c>
      <c r="M43" s="4" t="str">
        <f t="shared" si="8"/>
        <v>0.000</v>
      </c>
      <c r="N43" s="4" t="str">
        <f>"12125.20"</f>
        <v>12125.20</v>
      </c>
      <c r="O43" s="4" t="str">
        <f t="shared" si="65"/>
        <v>0</v>
      </c>
      <c r="P43" s="4" t="str">
        <f t="shared" si="82"/>
        <v>0.00</v>
      </c>
      <c r="Q43" s="4" t="str">
        <f t="shared" si="82"/>
        <v>0.00</v>
      </c>
      <c r="R43" s="4" t="str">
        <f t="shared" si="82"/>
        <v>0.00</v>
      </c>
      <c r="S43" s="4" t="str">
        <f t="shared" si="82"/>
        <v>0.00</v>
      </c>
      <c r="T43" s="4" t="str">
        <f t="shared" si="82"/>
        <v>0.00</v>
      </c>
      <c r="U43" s="4" t="str">
        <f t="shared" si="82"/>
        <v>0.00</v>
      </c>
      <c r="V43" s="4" t="str">
        <f t="shared" si="82"/>
        <v>0.00</v>
      </c>
      <c r="W43" s="4" t="str">
        <f t="shared" si="82"/>
        <v>0.00</v>
      </c>
      <c r="X43" s="4" t="str">
        <f t="shared" si="66"/>
        <v>0.00000</v>
      </c>
      <c r="Y43" s="4" t="str">
        <f t="shared" si="67"/>
        <v>0</v>
      </c>
      <c r="Z43" s="4" t="str">
        <f t="shared" si="12"/>
        <v>0</v>
      </c>
      <c r="AA43" s="4" t="str">
        <f t="shared" si="13"/>
        <v>人民币</v>
      </c>
      <c r="AB43" s="4" t="str">
        <f t="shared" si="14"/>
        <v>A368402599</v>
      </c>
    </row>
    <row r="44" spans="1:28">
      <c r="A44" s="4" t="str">
        <f>"20210827"</f>
        <v>20210827</v>
      </c>
      <c r="B44" s="4" t="str">
        <f>"20210827"</f>
        <v>20210827</v>
      </c>
      <c r="C44" s="4" t="str">
        <f t="shared" si="58"/>
        <v>0</v>
      </c>
      <c r="D44" s="4" t="str">
        <f t="shared" si="1"/>
        <v>00:00:00</v>
      </c>
      <c r="E44" s="4" t="str">
        <f t="shared" si="59"/>
        <v>港股通组合费</v>
      </c>
      <c r="F44" s="4" t="str">
        <f t="shared" si="60"/>
        <v/>
      </c>
      <c r="G44" s="4" t="str">
        <f t="shared" si="61"/>
        <v/>
      </c>
      <c r="H44" s="4" t="str">
        <f t="shared" si="62"/>
        <v>0.00</v>
      </c>
      <c r="I44" s="4" t="str">
        <f t="shared" si="63"/>
        <v>0</v>
      </c>
      <c r="J44" s="4" t="str">
        <f t="shared" si="78"/>
        <v>0.04</v>
      </c>
      <c r="K44" s="4" t="str">
        <f t="shared" si="79"/>
        <v>-0.04</v>
      </c>
      <c r="L44" s="4" t="str">
        <f t="shared" ref="L44:W44" si="83">"0.00"</f>
        <v>0.00</v>
      </c>
      <c r="M44" s="4" t="str">
        <f t="shared" si="8"/>
        <v>0.000</v>
      </c>
      <c r="N44" s="4" t="str">
        <f>"12190.20"</f>
        <v>12190.20</v>
      </c>
      <c r="O44" s="4" t="str">
        <f t="shared" si="65"/>
        <v>0</v>
      </c>
      <c r="P44" s="4" t="str">
        <f t="shared" si="83"/>
        <v>0.00</v>
      </c>
      <c r="Q44" s="4" t="str">
        <f t="shared" si="83"/>
        <v>0.00</v>
      </c>
      <c r="R44" s="4" t="str">
        <f t="shared" si="83"/>
        <v>0.00</v>
      </c>
      <c r="S44" s="4" t="str">
        <f t="shared" si="83"/>
        <v>0.00</v>
      </c>
      <c r="T44" s="4" t="str">
        <f t="shared" si="83"/>
        <v>0.00</v>
      </c>
      <c r="U44" s="4" t="str">
        <f t="shared" si="83"/>
        <v>0.00</v>
      </c>
      <c r="V44" s="4" t="str">
        <f t="shared" si="83"/>
        <v>0.00</v>
      </c>
      <c r="W44" s="4" t="str">
        <f t="shared" si="83"/>
        <v>0.00</v>
      </c>
      <c r="X44" s="4" t="str">
        <f t="shared" si="66"/>
        <v>0.00000</v>
      </c>
      <c r="Y44" s="4" t="str">
        <f t="shared" si="67"/>
        <v>0</v>
      </c>
      <c r="Z44" s="4" t="str">
        <f t="shared" si="12"/>
        <v>0</v>
      </c>
      <c r="AA44" s="4" t="str">
        <f t="shared" si="13"/>
        <v>人民币</v>
      </c>
      <c r="AB44" s="4" t="str">
        <f t="shared" si="14"/>
        <v>A368402599</v>
      </c>
    </row>
    <row r="45" spans="1:28">
      <c r="A45" s="4" t="str">
        <f>"20210830"</f>
        <v>20210830</v>
      </c>
      <c r="B45" s="4" t="str">
        <f>"20210830"</f>
        <v>20210830</v>
      </c>
      <c r="C45" s="4" t="str">
        <f t="shared" si="58"/>
        <v>0</v>
      </c>
      <c r="D45" s="4" t="str">
        <f t="shared" si="1"/>
        <v>00:00:00</v>
      </c>
      <c r="E45" s="4" t="str">
        <f t="shared" si="59"/>
        <v>港股通组合费</v>
      </c>
      <c r="F45" s="4" t="str">
        <f t="shared" si="60"/>
        <v/>
      </c>
      <c r="G45" s="4" t="str">
        <f t="shared" si="61"/>
        <v/>
      </c>
      <c r="H45" s="4" t="str">
        <f t="shared" si="62"/>
        <v>0.00</v>
      </c>
      <c r="I45" s="4" t="str">
        <f t="shared" si="63"/>
        <v>0</v>
      </c>
      <c r="J45" s="4" t="str">
        <f>"0.12"</f>
        <v>0.12</v>
      </c>
      <c r="K45" s="4" t="str">
        <f>"-0.12"</f>
        <v>-0.12</v>
      </c>
      <c r="L45" s="4" t="str">
        <f t="shared" ref="L45:W45" si="84">"0.00"</f>
        <v>0.00</v>
      </c>
      <c r="M45" s="4" t="str">
        <f t="shared" si="8"/>
        <v>0.000</v>
      </c>
      <c r="N45" s="4" t="str">
        <f>"25343.86"</f>
        <v>25343.86</v>
      </c>
      <c r="O45" s="4" t="str">
        <f t="shared" si="65"/>
        <v>0</v>
      </c>
      <c r="P45" s="4" t="str">
        <f t="shared" si="84"/>
        <v>0.00</v>
      </c>
      <c r="Q45" s="4" t="str">
        <f t="shared" si="84"/>
        <v>0.00</v>
      </c>
      <c r="R45" s="4" t="str">
        <f t="shared" si="84"/>
        <v>0.00</v>
      </c>
      <c r="S45" s="4" t="str">
        <f t="shared" si="84"/>
        <v>0.00</v>
      </c>
      <c r="T45" s="4" t="str">
        <f t="shared" si="84"/>
        <v>0.00</v>
      </c>
      <c r="U45" s="4" t="str">
        <f t="shared" si="84"/>
        <v>0.00</v>
      </c>
      <c r="V45" s="4" t="str">
        <f t="shared" si="84"/>
        <v>0.00</v>
      </c>
      <c r="W45" s="4" t="str">
        <f t="shared" si="84"/>
        <v>0.00</v>
      </c>
      <c r="X45" s="4" t="str">
        <f t="shared" si="66"/>
        <v>0.00000</v>
      </c>
      <c r="Y45" s="4" t="str">
        <f t="shared" si="67"/>
        <v>0</v>
      </c>
      <c r="Z45" s="4" t="str">
        <f t="shared" si="12"/>
        <v>0</v>
      </c>
      <c r="AA45" s="4" t="str">
        <f t="shared" si="13"/>
        <v>人民币</v>
      </c>
      <c r="AB45" s="4" t="str">
        <f t="shared" si="14"/>
        <v>A368402599</v>
      </c>
    </row>
    <row r="46" spans="1:28">
      <c r="A46" s="4" t="str">
        <f>"20210831"</f>
        <v>20210831</v>
      </c>
      <c r="B46" s="4" t="str">
        <f>"20210831"</f>
        <v>20210831</v>
      </c>
      <c r="C46" s="4" t="str">
        <f t="shared" si="58"/>
        <v>0</v>
      </c>
      <c r="D46" s="4" t="str">
        <f t="shared" si="1"/>
        <v>00:00:00</v>
      </c>
      <c r="E46" s="4" t="str">
        <f t="shared" si="59"/>
        <v>港股通组合费</v>
      </c>
      <c r="F46" s="4" t="str">
        <f t="shared" si="60"/>
        <v/>
      </c>
      <c r="G46" s="4" t="str">
        <f t="shared" si="61"/>
        <v/>
      </c>
      <c r="H46" s="4" t="str">
        <f t="shared" si="62"/>
        <v>0.00</v>
      </c>
      <c r="I46" s="4" t="str">
        <f t="shared" si="63"/>
        <v>0</v>
      </c>
      <c r="J46" s="4" t="str">
        <f>"0.04"</f>
        <v>0.04</v>
      </c>
      <c r="K46" s="4" t="str">
        <f>"-0.04"</f>
        <v>-0.04</v>
      </c>
      <c r="L46" s="4" t="str">
        <f t="shared" ref="L46:W46" si="85">"0.00"</f>
        <v>0.00</v>
      </c>
      <c r="M46" s="4" t="str">
        <f t="shared" si="8"/>
        <v>0.000</v>
      </c>
      <c r="N46" s="4" t="str">
        <f>"25343.82"</f>
        <v>25343.82</v>
      </c>
      <c r="O46" s="4" t="str">
        <f t="shared" si="65"/>
        <v>0</v>
      </c>
      <c r="P46" s="4" t="str">
        <f t="shared" si="85"/>
        <v>0.00</v>
      </c>
      <c r="Q46" s="4" t="str">
        <f t="shared" si="85"/>
        <v>0.00</v>
      </c>
      <c r="R46" s="4" t="str">
        <f t="shared" si="85"/>
        <v>0.00</v>
      </c>
      <c r="S46" s="4" t="str">
        <f t="shared" si="85"/>
        <v>0.00</v>
      </c>
      <c r="T46" s="4" t="str">
        <f t="shared" si="85"/>
        <v>0.00</v>
      </c>
      <c r="U46" s="4" t="str">
        <f t="shared" si="85"/>
        <v>0.00</v>
      </c>
      <c r="V46" s="4" t="str">
        <f t="shared" si="85"/>
        <v>0.00</v>
      </c>
      <c r="W46" s="4" t="str">
        <f t="shared" si="85"/>
        <v>0.00</v>
      </c>
      <c r="X46" s="4" t="str">
        <f t="shared" si="66"/>
        <v>0.00000</v>
      </c>
      <c r="Y46" s="4" t="str">
        <f t="shared" si="67"/>
        <v>0</v>
      </c>
      <c r="Z46" s="4" t="str">
        <f t="shared" si="12"/>
        <v>0</v>
      </c>
      <c r="AA46" s="4" t="str">
        <f t="shared" si="13"/>
        <v>人民币</v>
      </c>
      <c r="AB46" s="4" t="str">
        <f t="shared" si="14"/>
        <v>A368402599</v>
      </c>
    </row>
    <row r="47" spans="1:28">
      <c r="A47" s="4" t="str">
        <f>"20210901"</f>
        <v>20210901</v>
      </c>
      <c r="B47" s="4" t="str">
        <f>"20210830"</f>
        <v>20210830</v>
      </c>
      <c r="C47" s="4" t="str">
        <f>"20210830"</f>
        <v>20210830</v>
      </c>
      <c r="D47" s="4" t="str">
        <f>"14:41:13"</f>
        <v>14:41:13</v>
      </c>
      <c r="E47" s="4" t="str">
        <f>"港股通股票买入"</f>
        <v>港股通股票买入</v>
      </c>
      <c r="F47" s="4" t="str">
        <f>"01099"</f>
        <v>01099</v>
      </c>
      <c r="G47" s="4" t="str">
        <f>"国药控股"</f>
        <v>国药控股</v>
      </c>
      <c r="H47" s="4" t="str">
        <f>"15.94"</f>
        <v>15.94</v>
      </c>
      <c r="I47" s="4" t="str">
        <f>"800"</f>
        <v>800</v>
      </c>
      <c r="J47" s="4" t="str">
        <f>"12747.99"</f>
        <v>12747.99</v>
      </c>
      <c r="K47" s="4" t="str">
        <f>"-12774.06"</f>
        <v>-12774.06</v>
      </c>
      <c r="L47" s="4" t="str">
        <f>"800.00"</f>
        <v>800.00</v>
      </c>
      <c r="M47" s="4" t="str">
        <f>"19.160"</f>
        <v>19.160</v>
      </c>
      <c r="N47" s="4" t="str">
        <f>"12190.24"</f>
        <v>12190.24</v>
      </c>
      <c r="O47" s="4" t="str">
        <f>"2000"</f>
        <v>2000</v>
      </c>
      <c r="P47" s="4" t="str">
        <f>"16.63"</f>
        <v>16.63</v>
      </c>
      <c r="Q47" s="4" t="str">
        <f>"6.37"</f>
        <v>6.37</v>
      </c>
      <c r="R47" s="4" t="str">
        <f>"1.66"</f>
        <v>1.66</v>
      </c>
      <c r="S47" s="4" t="str">
        <f>"0.64"</f>
        <v>0.64</v>
      </c>
      <c r="T47" s="4" t="str">
        <f>"0.00"</f>
        <v>0.00</v>
      </c>
      <c r="U47" s="4" t="str">
        <f>"0.41"</f>
        <v>0.41</v>
      </c>
      <c r="V47" s="4" t="str">
        <f>"0.34"</f>
        <v>0.34</v>
      </c>
      <c r="W47" s="4" t="str">
        <f>"0.02"</f>
        <v>0.02</v>
      </c>
      <c r="X47" s="4" t="str">
        <f>"0.83168"</f>
        <v>0.83168</v>
      </c>
      <c r="Y47" s="4" t="str">
        <f>"1099000002186"</f>
        <v>1099000002186</v>
      </c>
      <c r="Z47" s="4" t="str">
        <f>"150347"</f>
        <v>150347</v>
      </c>
      <c r="AA47" s="4" t="str">
        <f t="shared" si="13"/>
        <v>人民币</v>
      </c>
      <c r="AB47" s="4" t="str">
        <f t="shared" si="14"/>
        <v>A368402599</v>
      </c>
    </row>
    <row r="48" spans="1:28">
      <c r="A48" s="4" t="str">
        <f>"20210901"</f>
        <v>20210901</v>
      </c>
      <c r="B48" s="4" t="str">
        <f>"20210901"</f>
        <v>20210901</v>
      </c>
      <c r="C48" s="4" t="str">
        <f t="shared" ref="C48:C67" si="86">"0"</f>
        <v>0</v>
      </c>
      <c r="D48" s="4" t="str">
        <f t="shared" ref="D48:D67" si="87">"00:00:00"</f>
        <v>00:00:00</v>
      </c>
      <c r="E48" s="4" t="str">
        <f t="shared" ref="E48:E67" si="88">"港股通组合费"</f>
        <v>港股通组合费</v>
      </c>
      <c r="F48" s="4" t="str">
        <f t="shared" ref="F48:F67" si="89">""</f>
        <v/>
      </c>
      <c r="G48" s="4" t="str">
        <f t="shared" ref="G48:G67" si="90">""</f>
        <v/>
      </c>
      <c r="H48" s="4" t="str">
        <f t="shared" ref="H48:H67" si="91">"0.00"</f>
        <v>0.00</v>
      </c>
      <c r="I48" s="4" t="str">
        <f t="shared" ref="I48:I67" si="92">"0"</f>
        <v>0</v>
      </c>
      <c r="J48" s="4" t="str">
        <f>"0.04"</f>
        <v>0.04</v>
      </c>
      <c r="K48" s="4" t="str">
        <f>"-0.04"</f>
        <v>-0.04</v>
      </c>
      <c r="L48" s="4" t="str">
        <f t="shared" ref="L48:W48" si="93">"0.00"</f>
        <v>0.00</v>
      </c>
      <c r="M48" s="4" t="str">
        <f t="shared" ref="M48:M67" si="94">"0.000"</f>
        <v>0.000</v>
      </c>
      <c r="N48" s="4" t="str">
        <f>"12190.20"</f>
        <v>12190.20</v>
      </c>
      <c r="O48" s="4" t="str">
        <f t="shared" ref="O48:O67" si="95">"0"</f>
        <v>0</v>
      </c>
      <c r="P48" s="4" t="str">
        <f t="shared" si="93"/>
        <v>0.00</v>
      </c>
      <c r="Q48" s="4" t="str">
        <f t="shared" si="93"/>
        <v>0.00</v>
      </c>
      <c r="R48" s="4" t="str">
        <f t="shared" si="93"/>
        <v>0.00</v>
      </c>
      <c r="S48" s="4" t="str">
        <f t="shared" si="93"/>
        <v>0.00</v>
      </c>
      <c r="T48" s="4" t="str">
        <f t="shared" si="93"/>
        <v>0.00</v>
      </c>
      <c r="U48" s="4" t="str">
        <f t="shared" si="93"/>
        <v>0.00</v>
      </c>
      <c r="V48" s="4" t="str">
        <f t="shared" si="93"/>
        <v>0.00</v>
      </c>
      <c r="W48" s="4" t="str">
        <f t="shared" si="93"/>
        <v>0.00</v>
      </c>
      <c r="X48" s="4" t="str">
        <f t="shared" ref="X48:X67" si="96">"0.00000"</f>
        <v>0.00000</v>
      </c>
      <c r="Y48" s="4" t="str">
        <f t="shared" ref="Y48:Y67" si="97">"0"</f>
        <v>0</v>
      </c>
      <c r="Z48" s="4" t="str">
        <f t="shared" ref="Z48:Z67" si="98">"0"</f>
        <v>0</v>
      </c>
      <c r="AA48" s="4" t="str">
        <f t="shared" si="13"/>
        <v>人民币</v>
      </c>
      <c r="AB48" s="4" t="str">
        <f t="shared" si="14"/>
        <v>A368402599</v>
      </c>
    </row>
    <row r="49" spans="1:28">
      <c r="A49" s="4" t="str">
        <f>"20210902"</f>
        <v>20210902</v>
      </c>
      <c r="B49" s="4" t="str">
        <f>"20210831"</f>
        <v>20210831</v>
      </c>
      <c r="C49" s="4" t="str">
        <f>"20210831"</f>
        <v>20210831</v>
      </c>
      <c r="D49" s="4" t="str">
        <f>"09:46:03"</f>
        <v>09:46:03</v>
      </c>
      <c r="E49" s="4" t="str">
        <f>"港股通股票卖出"</f>
        <v>港股通股票卖出</v>
      </c>
      <c r="F49" s="4" t="str">
        <f>"01099"</f>
        <v>01099</v>
      </c>
      <c r="G49" s="4" t="str">
        <f>"国药控股"</f>
        <v>国药控股</v>
      </c>
      <c r="H49" s="4" t="str">
        <f>"16.34"</f>
        <v>16.34</v>
      </c>
      <c r="I49" s="4" t="str">
        <f>"800"</f>
        <v>800</v>
      </c>
      <c r="J49" s="4" t="str">
        <f>"13071.14"</f>
        <v>13071.14</v>
      </c>
      <c r="K49" s="4" t="str">
        <f>"13044.09"</f>
        <v>13044.09</v>
      </c>
      <c r="L49" s="4" t="str">
        <f>"800.00"</f>
        <v>800.00</v>
      </c>
      <c r="M49" s="4" t="str">
        <f>"19.660"</f>
        <v>19.660</v>
      </c>
      <c r="N49" s="4" t="str">
        <f>"12190.24"</f>
        <v>12190.24</v>
      </c>
      <c r="O49" s="4" t="str">
        <f>"1200"</f>
        <v>1200</v>
      </c>
      <c r="P49" s="4" t="str">
        <f>"17.43"</f>
        <v>17.43</v>
      </c>
      <c r="Q49" s="4" t="str">
        <f>"6.53"</f>
        <v>6.53</v>
      </c>
      <c r="R49" s="4" t="str">
        <f>"1.66"</f>
        <v>1.66</v>
      </c>
      <c r="S49" s="4" t="str">
        <f>"0.65"</f>
        <v>0.65</v>
      </c>
      <c r="T49" s="4" t="str">
        <f>"0.00"</f>
        <v>0.00</v>
      </c>
      <c r="U49" s="4" t="str">
        <f>"0.41"</f>
        <v>0.41</v>
      </c>
      <c r="V49" s="4" t="str">
        <f>"0.35"</f>
        <v>0.35</v>
      </c>
      <c r="W49" s="4" t="str">
        <f>"0.02"</f>
        <v>0.02</v>
      </c>
      <c r="X49" s="4" t="str">
        <f>"0.83023"</f>
        <v>0.83023</v>
      </c>
      <c r="Y49" s="4" t="str">
        <f>"1099000000750"</f>
        <v>1099000000750</v>
      </c>
      <c r="Z49" s="4" t="str">
        <f>"94603"</f>
        <v>94603</v>
      </c>
      <c r="AA49" s="4" t="str">
        <f t="shared" si="13"/>
        <v>人民币</v>
      </c>
      <c r="AB49" s="4" t="str">
        <f t="shared" si="14"/>
        <v>A368402599</v>
      </c>
    </row>
    <row r="50" spans="1:28">
      <c r="A50" s="4" t="str">
        <f>"20210902"</f>
        <v>20210902</v>
      </c>
      <c r="B50" s="4" t="str">
        <f>"20210902"</f>
        <v>20210902</v>
      </c>
      <c r="C50" s="4" t="str">
        <f t="shared" si="86"/>
        <v>0</v>
      </c>
      <c r="D50" s="4" t="str">
        <f t="shared" si="87"/>
        <v>00:00:00</v>
      </c>
      <c r="E50" s="4" t="str">
        <f t="shared" si="88"/>
        <v>港股通组合费</v>
      </c>
      <c r="F50" s="4" t="str">
        <f t="shared" si="89"/>
        <v/>
      </c>
      <c r="G50" s="4" t="str">
        <f t="shared" si="90"/>
        <v/>
      </c>
      <c r="H50" s="4" t="str">
        <f t="shared" si="91"/>
        <v>0.00</v>
      </c>
      <c r="I50" s="4" t="str">
        <f t="shared" si="92"/>
        <v>0</v>
      </c>
      <c r="J50" s="4" t="str">
        <f t="shared" ref="J50:J56" si="99">"0.05"</f>
        <v>0.05</v>
      </c>
      <c r="K50" s="4" t="str">
        <f t="shared" ref="K50:K56" si="100">"-0.05"</f>
        <v>-0.05</v>
      </c>
      <c r="L50" s="4" t="str">
        <f t="shared" ref="L50:W50" si="101">"0.00"</f>
        <v>0.00</v>
      </c>
      <c r="M50" s="4" t="str">
        <f t="shared" si="94"/>
        <v>0.000</v>
      </c>
      <c r="N50" s="4" t="str">
        <f t="shared" ref="N50:N53" si="102">"12190.19"</f>
        <v>12190.19</v>
      </c>
      <c r="O50" s="4" t="str">
        <f t="shared" si="95"/>
        <v>0</v>
      </c>
      <c r="P50" s="4" t="str">
        <f t="shared" si="101"/>
        <v>0.00</v>
      </c>
      <c r="Q50" s="4" t="str">
        <f t="shared" si="101"/>
        <v>0.00</v>
      </c>
      <c r="R50" s="4" t="str">
        <f t="shared" si="101"/>
        <v>0.00</v>
      </c>
      <c r="S50" s="4" t="str">
        <f t="shared" si="101"/>
        <v>0.00</v>
      </c>
      <c r="T50" s="4" t="str">
        <f t="shared" si="101"/>
        <v>0.00</v>
      </c>
      <c r="U50" s="4" t="str">
        <f t="shared" si="101"/>
        <v>0.00</v>
      </c>
      <c r="V50" s="4" t="str">
        <f t="shared" si="101"/>
        <v>0.00</v>
      </c>
      <c r="W50" s="4" t="str">
        <f t="shared" si="101"/>
        <v>0.00</v>
      </c>
      <c r="X50" s="4" t="str">
        <f t="shared" si="96"/>
        <v>0.00000</v>
      </c>
      <c r="Y50" s="4" t="str">
        <f t="shared" si="97"/>
        <v>0</v>
      </c>
      <c r="Z50" s="4" t="str">
        <f t="shared" si="98"/>
        <v>0</v>
      </c>
      <c r="AA50" s="4" t="str">
        <f t="shared" si="13"/>
        <v>人民币</v>
      </c>
      <c r="AB50" s="4" t="str">
        <f t="shared" si="14"/>
        <v>A368402599</v>
      </c>
    </row>
    <row r="51" spans="1:28">
      <c r="A51" s="4" t="str">
        <f>"20210903"</f>
        <v>20210903</v>
      </c>
      <c r="B51" s="4" t="str">
        <f>"20210903"</f>
        <v>20210903</v>
      </c>
      <c r="C51" s="4" t="str">
        <f t="shared" si="86"/>
        <v>0</v>
      </c>
      <c r="D51" s="4" t="str">
        <f t="shared" si="87"/>
        <v>00:00:00</v>
      </c>
      <c r="E51" s="4" t="str">
        <f t="shared" si="88"/>
        <v>港股通组合费</v>
      </c>
      <c r="F51" s="4" t="str">
        <f t="shared" si="89"/>
        <v/>
      </c>
      <c r="G51" s="4" t="str">
        <f t="shared" si="90"/>
        <v/>
      </c>
      <c r="H51" s="4" t="str">
        <f t="shared" si="91"/>
        <v>0.00</v>
      </c>
      <c r="I51" s="4" t="str">
        <f t="shared" si="92"/>
        <v>0</v>
      </c>
      <c r="J51" s="4" t="str">
        <f t="shared" si="99"/>
        <v>0.05</v>
      </c>
      <c r="K51" s="4" t="str">
        <f t="shared" si="100"/>
        <v>-0.05</v>
      </c>
      <c r="L51" s="4" t="str">
        <f t="shared" ref="L51:W51" si="103">"0.00"</f>
        <v>0.00</v>
      </c>
      <c r="M51" s="4" t="str">
        <f t="shared" si="94"/>
        <v>0.000</v>
      </c>
      <c r="N51" s="4" t="str">
        <f t="shared" si="102"/>
        <v>12190.19</v>
      </c>
      <c r="O51" s="4" t="str">
        <f t="shared" si="95"/>
        <v>0</v>
      </c>
      <c r="P51" s="4" t="str">
        <f t="shared" si="103"/>
        <v>0.00</v>
      </c>
      <c r="Q51" s="4" t="str">
        <f t="shared" si="103"/>
        <v>0.00</v>
      </c>
      <c r="R51" s="4" t="str">
        <f t="shared" si="103"/>
        <v>0.00</v>
      </c>
      <c r="S51" s="4" t="str">
        <f t="shared" si="103"/>
        <v>0.00</v>
      </c>
      <c r="T51" s="4" t="str">
        <f t="shared" si="103"/>
        <v>0.00</v>
      </c>
      <c r="U51" s="4" t="str">
        <f t="shared" si="103"/>
        <v>0.00</v>
      </c>
      <c r="V51" s="4" t="str">
        <f t="shared" si="103"/>
        <v>0.00</v>
      </c>
      <c r="W51" s="4" t="str">
        <f t="shared" si="103"/>
        <v>0.00</v>
      </c>
      <c r="X51" s="4" t="str">
        <f t="shared" si="96"/>
        <v>0.00000</v>
      </c>
      <c r="Y51" s="4" t="str">
        <f t="shared" si="97"/>
        <v>0</v>
      </c>
      <c r="Z51" s="4" t="str">
        <f t="shared" si="98"/>
        <v>0</v>
      </c>
      <c r="AA51" s="4" t="str">
        <f t="shared" si="13"/>
        <v>人民币</v>
      </c>
      <c r="AB51" s="4" t="str">
        <f t="shared" si="14"/>
        <v>A368402599</v>
      </c>
    </row>
    <row r="52" spans="1:28">
      <c r="A52" s="4" t="str">
        <f>"20210906"</f>
        <v>20210906</v>
      </c>
      <c r="B52" s="4" t="str">
        <f>"20210906"</f>
        <v>20210906</v>
      </c>
      <c r="C52" s="4" t="str">
        <f t="shared" si="86"/>
        <v>0</v>
      </c>
      <c r="D52" s="4" t="str">
        <f t="shared" si="87"/>
        <v>00:00:00</v>
      </c>
      <c r="E52" s="4" t="str">
        <f t="shared" si="88"/>
        <v>港股通组合费</v>
      </c>
      <c r="F52" s="4" t="str">
        <f t="shared" si="89"/>
        <v/>
      </c>
      <c r="G52" s="4" t="str">
        <f t="shared" si="90"/>
        <v/>
      </c>
      <c r="H52" s="4" t="str">
        <f t="shared" si="91"/>
        <v>0.00</v>
      </c>
      <c r="I52" s="4" t="str">
        <f t="shared" si="92"/>
        <v>0</v>
      </c>
      <c r="J52" s="4" t="str">
        <f>"0.15"</f>
        <v>0.15</v>
      </c>
      <c r="K52" s="4" t="str">
        <f>"-0.15"</f>
        <v>-0.15</v>
      </c>
      <c r="L52" s="4" t="str">
        <f t="shared" ref="L52:W52" si="104">"0.00"</f>
        <v>0.00</v>
      </c>
      <c r="M52" s="4" t="str">
        <f t="shared" si="94"/>
        <v>0.000</v>
      </c>
      <c r="N52" s="4" t="str">
        <f>"12190.09"</f>
        <v>12190.09</v>
      </c>
      <c r="O52" s="4" t="str">
        <f t="shared" si="95"/>
        <v>0</v>
      </c>
      <c r="P52" s="4" t="str">
        <f t="shared" si="104"/>
        <v>0.00</v>
      </c>
      <c r="Q52" s="4" t="str">
        <f t="shared" si="104"/>
        <v>0.00</v>
      </c>
      <c r="R52" s="4" t="str">
        <f t="shared" si="104"/>
        <v>0.00</v>
      </c>
      <c r="S52" s="4" t="str">
        <f t="shared" si="104"/>
        <v>0.00</v>
      </c>
      <c r="T52" s="4" t="str">
        <f t="shared" si="104"/>
        <v>0.00</v>
      </c>
      <c r="U52" s="4" t="str">
        <f t="shared" si="104"/>
        <v>0.00</v>
      </c>
      <c r="V52" s="4" t="str">
        <f t="shared" si="104"/>
        <v>0.00</v>
      </c>
      <c r="W52" s="4" t="str">
        <f t="shared" si="104"/>
        <v>0.00</v>
      </c>
      <c r="X52" s="4" t="str">
        <f t="shared" si="96"/>
        <v>0.00000</v>
      </c>
      <c r="Y52" s="4" t="str">
        <f t="shared" si="97"/>
        <v>0</v>
      </c>
      <c r="Z52" s="4" t="str">
        <f t="shared" si="98"/>
        <v>0</v>
      </c>
      <c r="AA52" s="4" t="str">
        <f t="shared" si="13"/>
        <v>人民币</v>
      </c>
      <c r="AB52" s="4" t="str">
        <f t="shared" si="14"/>
        <v>A368402599</v>
      </c>
    </row>
    <row r="53" spans="1:28">
      <c r="A53" s="4" t="str">
        <f>"20210907"</f>
        <v>20210907</v>
      </c>
      <c r="B53" s="4" t="str">
        <f>"20210907"</f>
        <v>20210907</v>
      </c>
      <c r="C53" s="4" t="str">
        <f t="shared" si="86"/>
        <v>0</v>
      </c>
      <c r="D53" s="4" t="str">
        <f t="shared" si="87"/>
        <v>00:00:00</v>
      </c>
      <c r="E53" s="4" t="str">
        <f t="shared" si="88"/>
        <v>港股通组合费</v>
      </c>
      <c r="F53" s="4" t="str">
        <f t="shared" si="89"/>
        <v/>
      </c>
      <c r="G53" s="4" t="str">
        <f t="shared" si="90"/>
        <v/>
      </c>
      <c r="H53" s="4" t="str">
        <f t="shared" si="91"/>
        <v>0.00</v>
      </c>
      <c r="I53" s="4" t="str">
        <f t="shared" si="92"/>
        <v>0</v>
      </c>
      <c r="J53" s="4" t="str">
        <f t="shared" si="99"/>
        <v>0.05</v>
      </c>
      <c r="K53" s="4" t="str">
        <f t="shared" si="100"/>
        <v>-0.05</v>
      </c>
      <c r="L53" s="4" t="str">
        <f t="shared" ref="L53:W53" si="105">"0.00"</f>
        <v>0.00</v>
      </c>
      <c r="M53" s="4" t="str">
        <f t="shared" si="94"/>
        <v>0.000</v>
      </c>
      <c r="N53" s="4" t="str">
        <f t="shared" si="102"/>
        <v>12190.19</v>
      </c>
      <c r="O53" s="4" t="str">
        <f t="shared" si="95"/>
        <v>0</v>
      </c>
      <c r="P53" s="4" t="str">
        <f t="shared" si="105"/>
        <v>0.00</v>
      </c>
      <c r="Q53" s="4" t="str">
        <f t="shared" si="105"/>
        <v>0.00</v>
      </c>
      <c r="R53" s="4" t="str">
        <f t="shared" si="105"/>
        <v>0.00</v>
      </c>
      <c r="S53" s="4" t="str">
        <f t="shared" si="105"/>
        <v>0.00</v>
      </c>
      <c r="T53" s="4" t="str">
        <f t="shared" si="105"/>
        <v>0.00</v>
      </c>
      <c r="U53" s="4" t="str">
        <f t="shared" si="105"/>
        <v>0.00</v>
      </c>
      <c r="V53" s="4" t="str">
        <f t="shared" si="105"/>
        <v>0.00</v>
      </c>
      <c r="W53" s="4" t="str">
        <f t="shared" si="105"/>
        <v>0.00</v>
      </c>
      <c r="X53" s="4" t="str">
        <f t="shared" si="96"/>
        <v>0.00000</v>
      </c>
      <c r="Y53" s="4" t="str">
        <f t="shared" si="97"/>
        <v>0</v>
      </c>
      <c r="Z53" s="4" t="str">
        <f t="shared" si="98"/>
        <v>0</v>
      </c>
      <c r="AA53" s="4" t="str">
        <f t="shared" si="13"/>
        <v>人民币</v>
      </c>
      <c r="AB53" s="4" t="str">
        <f t="shared" si="14"/>
        <v>A368402599</v>
      </c>
    </row>
    <row r="54" spans="1:28">
      <c r="A54" s="4" t="str">
        <f>"20210908"</f>
        <v>20210908</v>
      </c>
      <c r="B54" s="4" t="str">
        <f>"20210908"</f>
        <v>20210908</v>
      </c>
      <c r="C54" s="4" t="str">
        <f t="shared" si="86"/>
        <v>0</v>
      </c>
      <c r="D54" s="4" t="str">
        <f t="shared" si="87"/>
        <v>00:00:00</v>
      </c>
      <c r="E54" s="4" t="str">
        <f t="shared" si="88"/>
        <v>港股通组合费</v>
      </c>
      <c r="F54" s="4" t="str">
        <f t="shared" si="89"/>
        <v/>
      </c>
      <c r="G54" s="4" t="str">
        <f t="shared" si="90"/>
        <v/>
      </c>
      <c r="H54" s="4" t="str">
        <f t="shared" si="91"/>
        <v>0.00</v>
      </c>
      <c r="I54" s="4" t="str">
        <f t="shared" si="92"/>
        <v>0</v>
      </c>
      <c r="J54" s="4" t="str">
        <f t="shared" si="99"/>
        <v>0.05</v>
      </c>
      <c r="K54" s="4" t="str">
        <f t="shared" si="100"/>
        <v>-0.05</v>
      </c>
      <c r="L54" s="4" t="str">
        <f t="shared" ref="L54:W54" si="106">"0.00"</f>
        <v>0.00</v>
      </c>
      <c r="M54" s="4" t="str">
        <f t="shared" si="94"/>
        <v>0.000</v>
      </c>
      <c r="N54" s="4" t="str">
        <f t="shared" ref="N54:N56" si="107">"4.95"</f>
        <v>4.95</v>
      </c>
      <c r="O54" s="4" t="str">
        <f t="shared" si="95"/>
        <v>0</v>
      </c>
      <c r="P54" s="4" t="str">
        <f t="shared" si="106"/>
        <v>0.00</v>
      </c>
      <c r="Q54" s="4" t="str">
        <f t="shared" si="106"/>
        <v>0.00</v>
      </c>
      <c r="R54" s="4" t="str">
        <f t="shared" si="106"/>
        <v>0.00</v>
      </c>
      <c r="S54" s="4" t="str">
        <f t="shared" si="106"/>
        <v>0.00</v>
      </c>
      <c r="T54" s="4" t="str">
        <f t="shared" si="106"/>
        <v>0.00</v>
      </c>
      <c r="U54" s="4" t="str">
        <f t="shared" si="106"/>
        <v>0.00</v>
      </c>
      <c r="V54" s="4" t="str">
        <f t="shared" si="106"/>
        <v>0.00</v>
      </c>
      <c r="W54" s="4" t="str">
        <f t="shared" si="106"/>
        <v>0.00</v>
      </c>
      <c r="X54" s="4" t="str">
        <f t="shared" si="96"/>
        <v>0.00000</v>
      </c>
      <c r="Y54" s="4" t="str">
        <f t="shared" si="97"/>
        <v>0</v>
      </c>
      <c r="Z54" s="4" t="str">
        <f t="shared" si="98"/>
        <v>0</v>
      </c>
      <c r="AA54" s="4" t="str">
        <f t="shared" si="13"/>
        <v>人民币</v>
      </c>
      <c r="AB54" s="4" t="str">
        <f t="shared" si="14"/>
        <v>A368402599</v>
      </c>
    </row>
    <row r="55" spans="1:28">
      <c r="A55" s="4" t="str">
        <f>"20210909"</f>
        <v>20210909</v>
      </c>
      <c r="B55" s="4" t="str">
        <f>"20210909"</f>
        <v>20210909</v>
      </c>
      <c r="C55" s="4" t="str">
        <f t="shared" si="86"/>
        <v>0</v>
      </c>
      <c r="D55" s="4" t="str">
        <f t="shared" si="87"/>
        <v>00:00:00</v>
      </c>
      <c r="E55" s="4" t="str">
        <f t="shared" si="88"/>
        <v>港股通组合费</v>
      </c>
      <c r="F55" s="4" t="str">
        <f t="shared" si="89"/>
        <v/>
      </c>
      <c r="G55" s="4" t="str">
        <f t="shared" si="90"/>
        <v/>
      </c>
      <c r="H55" s="4" t="str">
        <f t="shared" si="91"/>
        <v>0.00</v>
      </c>
      <c r="I55" s="4" t="str">
        <f t="shared" si="92"/>
        <v>0</v>
      </c>
      <c r="J55" s="4" t="str">
        <f t="shared" si="99"/>
        <v>0.05</v>
      </c>
      <c r="K55" s="4" t="str">
        <f t="shared" si="100"/>
        <v>-0.05</v>
      </c>
      <c r="L55" s="4" t="str">
        <f t="shared" ref="L55:W55" si="108">"0.00"</f>
        <v>0.00</v>
      </c>
      <c r="M55" s="4" t="str">
        <f t="shared" si="94"/>
        <v>0.000</v>
      </c>
      <c r="N55" s="4" t="str">
        <f t="shared" si="107"/>
        <v>4.95</v>
      </c>
      <c r="O55" s="4" t="str">
        <f t="shared" si="95"/>
        <v>0</v>
      </c>
      <c r="P55" s="4" t="str">
        <f t="shared" si="108"/>
        <v>0.00</v>
      </c>
      <c r="Q55" s="4" t="str">
        <f t="shared" si="108"/>
        <v>0.00</v>
      </c>
      <c r="R55" s="4" t="str">
        <f t="shared" si="108"/>
        <v>0.00</v>
      </c>
      <c r="S55" s="4" t="str">
        <f t="shared" si="108"/>
        <v>0.00</v>
      </c>
      <c r="T55" s="4" t="str">
        <f t="shared" si="108"/>
        <v>0.00</v>
      </c>
      <c r="U55" s="4" t="str">
        <f t="shared" si="108"/>
        <v>0.00</v>
      </c>
      <c r="V55" s="4" t="str">
        <f t="shared" si="108"/>
        <v>0.00</v>
      </c>
      <c r="W55" s="4" t="str">
        <f t="shared" si="108"/>
        <v>0.00</v>
      </c>
      <c r="X55" s="4" t="str">
        <f t="shared" si="96"/>
        <v>0.00000</v>
      </c>
      <c r="Y55" s="4" t="str">
        <f t="shared" si="97"/>
        <v>0</v>
      </c>
      <c r="Z55" s="4" t="str">
        <f t="shared" si="98"/>
        <v>0</v>
      </c>
      <c r="AA55" s="4" t="str">
        <f t="shared" si="13"/>
        <v>人民币</v>
      </c>
      <c r="AB55" s="4" t="str">
        <f t="shared" si="14"/>
        <v>A368402599</v>
      </c>
    </row>
    <row r="56" spans="1:28">
      <c r="A56" s="4" t="str">
        <f>"20210910"</f>
        <v>20210910</v>
      </c>
      <c r="B56" s="4" t="str">
        <f>"20210910"</f>
        <v>20210910</v>
      </c>
      <c r="C56" s="4" t="str">
        <f t="shared" si="86"/>
        <v>0</v>
      </c>
      <c r="D56" s="4" t="str">
        <f t="shared" si="87"/>
        <v>00:00:00</v>
      </c>
      <c r="E56" s="4" t="str">
        <f t="shared" si="88"/>
        <v>港股通组合费</v>
      </c>
      <c r="F56" s="4" t="str">
        <f t="shared" si="89"/>
        <v/>
      </c>
      <c r="G56" s="4" t="str">
        <f t="shared" si="90"/>
        <v/>
      </c>
      <c r="H56" s="4" t="str">
        <f t="shared" si="91"/>
        <v>0.00</v>
      </c>
      <c r="I56" s="4" t="str">
        <f t="shared" si="92"/>
        <v>0</v>
      </c>
      <c r="J56" s="4" t="str">
        <f t="shared" si="99"/>
        <v>0.05</v>
      </c>
      <c r="K56" s="4" t="str">
        <f t="shared" si="100"/>
        <v>-0.05</v>
      </c>
      <c r="L56" s="4" t="str">
        <f t="shared" ref="L56:W56" si="109">"0.00"</f>
        <v>0.00</v>
      </c>
      <c r="M56" s="4" t="str">
        <f t="shared" si="94"/>
        <v>0.000</v>
      </c>
      <c r="N56" s="4" t="str">
        <f t="shared" si="107"/>
        <v>4.95</v>
      </c>
      <c r="O56" s="4" t="str">
        <f t="shared" si="95"/>
        <v>0</v>
      </c>
      <c r="P56" s="4" t="str">
        <f t="shared" si="109"/>
        <v>0.00</v>
      </c>
      <c r="Q56" s="4" t="str">
        <f t="shared" si="109"/>
        <v>0.00</v>
      </c>
      <c r="R56" s="4" t="str">
        <f t="shared" si="109"/>
        <v>0.00</v>
      </c>
      <c r="S56" s="4" t="str">
        <f t="shared" si="109"/>
        <v>0.00</v>
      </c>
      <c r="T56" s="4" t="str">
        <f t="shared" si="109"/>
        <v>0.00</v>
      </c>
      <c r="U56" s="4" t="str">
        <f t="shared" si="109"/>
        <v>0.00</v>
      </c>
      <c r="V56" s="4" t="str">
        <f t="shared" si="109"/>
        <v>0.00</v>
      </c>
      <c r="W56" s="4" t="str">
        <f t="shared" si="109"/>
        <v>0.00</v>
      </c>
      <c r="X56" s="4" t="str">
        <f t="shared" si="96"/>
        <v>0.00000</v>
      </c>
      <c r="Y56" s="4" t="str">
        <f t="shared" si="97"/>
        <v>0</v>
      </c>
      <c r="Z56" s="4" t="str">
        <f t="shared" si="98"/>
        <v>0</v>
      </c>
      <c r="AA56" s="4" t="str">
        <f t="shared" si="13"/>
        <v>人民币</v>
      </c>
      <c r="AB56" s="4" t="str">
        <f t="shared" si="14"/>
        <v>A368402599</v>
      </c>
    </row>
    <row r="57" spans="1:28">
      <c r="A57" s="4" t="str">
        <f>"20210913"</f>
        <v>20210913</v>
      </c>
      <c r="B57" s="4" t="str">
        <f>"20210913"</f>
        <v>20210913</v>
      </c>
      <c r="C57" s="4" t="str">
        <f t="shared" si="86"/>
        <v>0</v>
      </c>
      <c r="D57" s="4" t="str">
        <f t="shared" si="87"/>
        <v>00:00:00</v>
      </c>
      <c r="E57" s="4" t="str">
        <f t="shared" si="88"/>
        <v>港股通组合费</v>
      </c>
      <c r="F57" s="4" t="str">
        <f t="shared" si="89"/>
        <v/>
      </c>
      <c r="G57" s="4" t="str">
        <f t="shared" si="90"/>
        <v/>
      </c>
      <c r="H57" s="4" t="str">
        <f t="shared" si="91"/>
        <v>0.00</v>
      </c>
      <c r="I57" s="4" t="str">
        <f t="shared" si="92"/>
        <v>0</v>
      </c>
      <c r="J57" s="4" t="str">
        <f>"0.15"</f>
        <v>0.15</v>
      </c>
      <c r="K57" s="4" t="str">
        <f>"-0.15"</f>
        <v>-0.15</v>
      </c>
      <c r="L57" s="4" t="str">
        <f t="shared" ref="L57:W57" si="110">"0.00"</f>
        <v>0.00</v>
      </c>
      <c r="M57" s="4" t="str">
        <f t="shared" si="94"/>
        <v>0.000</v>
      </c>
      <c r="N57" s="4" t="str">
        <f>"8269.85"</f>
        <v>8269.85</v>
      </c>
      <c r="O57" s="4" t="str">
        <f t="shared" si="95"/>
        <v>0</v>
      </c>
      <c r="P57" s="4" t="str">
        <f t="shared" si="110"/>
        <v>0.00</v>
      </c>
      <c r="Q57" s="4" t="str">
        <f t="shared" si="110"/>
        <v>0.00</v>
      </c>
      <c r="R57" s="4" t="str">
        <f t="shared" si="110"/>
        <v>0.00</v>
      </c>
      <c r="S57" s="4" t="str">
        <f t="shared" si="110"/>
        <v>0.00</v>
      </c>
      <c r="T57" s="4" t="str">
        <f t="shared" si="110"/>
        <v>0.00</v>
      </c>
      <c r="U57" s="4" t="str">
        <f t="shared" si="110"/>
        <v>0.00</v>
      </c>
      <c r="V57" s="4" t="str">
        <f t="shared" si="110"/>
        <v>0.00</v>
      </c>
      <c r="W57" s="4" t="str">
        <f t="shared" si="110"/>
        <v>0.00</v>
      </c>
      <c r="X57" s="4" t="str">
        <f t="shared" si="96"/>
        <v>0.00000</v>
      </c>
      <c r="Y57" s="4" t="str">
        <f t="shared" si="97"/>
        <v>0</v>
      </c>
      <c r="Z57" s="4" t="str">
        <f t="shared" si="98"/>
        <v>0</v>
      </c>
      <c r="AA57" s="4" t="str">
        <f t="shared" si="13"/>
        <v>人民币</v>
      </c>
      <c r="AB57" s="4" t="str">
        <f t="shared" si="14"/>
        <v>A368402599</v>
      </c>
    </row>
    <row r="58" spans="1:28">
      <c r="A58" s="4" t="str">
        <f>"20210914"</f>
        <v>20210914</v>
      </c>
      <c r="B58" s="4" t="str">
        <f>"20210914"</f>
        <v>20210914</v>
      </c>
      <c r="C58" s="4" t="str">
        <f t="shared" si="86"/>
        <v>0</v>
      </c>
      <c r="D58" s="4" t="str">
        <f t="shared" si="87"/>
        <v>00:00:00</v>
      </c>
      <c r="E58" s="4" t="str">
        <f t="shared" si="88"/>
        <v>港股通组合费</v>
      </c>
      <c r="F58" s="4" t="str">
        <f t="shared" si="89"/>
        <v/>
      </c>
      <c r="G58" s="4" t="str">
        <f t="shared" si="90"/>
        <v/>
      </c>
      <c r="H58" s="4" t="str">
        <f t="shared" si="91"/>
        <v>0.00</v>
      </c>
      <c r="I58" s="4" t="str">
        <f t="shared" si="92"/>
        <v>0</v>
      </c>
      <c r="J58" s="4" t="str">
        <f t="shared" ref="J58:J61" si="111">"0.05"</f>
        <v>0.05</v>
      </c>
      <c r="K58" s="4" t="str">
        <f t="shared" ref="K58:K61" si="112">"-0.05"</f>
        <v>-0.05</v>
      </c>
      <c r="L58" s="4" t="str">
        <f t="shared" ref="L58:W58" si="113">"0.00"</f>
        <v>0.00</v>
      </c>
      <c r="M58" s="4" t="str">
        <f t="shared" si="94"/>
        <v>0.000</v>
      </c>
      <c r="N58" s="4" t="str">
        <f>"8399.95"</f>
        <v>8399.95</v>
      </c>
      <c r="O58" s="4" t="str">
        <f t="shared" si="95"/>
        <v>0</v>
      </c>
      <c r="P58" s="4" t="str">
        <f t="shared" si="113"/>
        <v>0.00</v>
      </c>
      <c r="Q58" s="4" t="str">
        <f t="shared" si="113"/>
        <v>0.00</v>
      </c>
      <c r="R58" s="4" t="str">
        <f t="shared" si="113"/>
        <v>0.00</v>
      </c>
      <c r="S58" s="4" t="str">
        <f t="shared" si="113"/>
        <v>0.00</v>
      </c>
      <c r="T58" s="4" t="str">
        <f t="shared" si="113"/>
        <v>0.00</v>
      </c>
      <c r="U58" s="4" t="str">
        <f t="shared" si="113"/>
        <v>0.00</v>
      </c>
      <c r="V58" s="4" t="str">
        <f t="shared" si="113"/>
        <v>0.00</v>
      </c>
      <c r="W58" s="4" t="str">
        <f t="shared" si="113"/>
        <v>0.00</v>
      </c>
      <c r="X58" s="4" t="str">
        <f t="shared" si="96"/>
        <v>0.00000</v>
      </c>
      <c r="Y58" s="4" t="str">
        <f t="shared" si="97"/>
        <v>0</v>
      </c>
      <c r="Z58" s="4" t="str">
        <f t="shared" si="98"/>
        <v>0</v>
      </c>
      <c r="AA58" s="4" t="str">
        <f t="shared" si="13"/>
        <v>人民币</v>
      </c>
      <c r="AB58" s="4" t="str">
        <f t="shared" si="14"/>
        <v>A368402599</v>
      </c>
    </row>
    <row r="59" spans="1:28">
      <c r="A59" s="4" t="str">
        <f>"20210915"</f>
        <v>20210915</v>
      </c>
      <c r="B59" s="4" t="str">
        <f>"20210915"</f>
        <v>20210915</v>
      </c>
      <c r="C59" s="4" t="str">
        <f t="shared" si="86"/>
        <v>0</v>
      </c>
      <c r="D59" s="4" t="str">
        <f t="shared" si="87"/>
        <v>00:00:00</v>
      </c>
      <c r="E59" s="4" t="str">
        <f t="shared" si="88"/>
        <v>港股通组合费</v>
      </c>
      <c r="F59" s="4" t="str">
        <f t="shared" si="89"/>
        <v/>
      </c>
      <c r="G59" s="4" t="str">
        <f t="shared" si="90"/>
        <v/>
      </c>
      <c r="H59" s="4" t="str">
        <f t="shared" si="91"/>
        <v>0.00</v>
      </c>
      <c r="I59" s="4" t="str">
        <f t="shared" si="92"/>
        <v>0</v>
      </c>
      <c r="J59" s="4" t="str">
        <f t="shared" si="111"/>
        <v>0.05</v>
      </c>
      <c r="K59" s="4" t="str">
        <f t="shared" si="112"/>
        <v>-0.05</v>
      </c>
      <c r="L59" s="4" t="str">
        <f t="shared" ref="L59:W59" si="114">"0.00"</f>
        <v>0.00</v>
      </c>
      <c r="M59" s="4" t="str">
        <f t="shared" si="94"/>
        <v>0.000</v>
      </c>
      <c r="N59" s="4" t="str">
        <f>"8269.95"</f>
        <v>8269.95</v>
      </c>
      <c r="O59" s="4" t="str">
        <f t="shared" si="95"/>
        <v>0</v>
      </c>
      <c r="P59" s="4" t="str">
        <f t="shared" si="114"/>
        <v>0.00</v>
      </c>
      <c r="Q59" s="4" t="str">
        <f t="shared" si="114"/>
        <v>0.00</v>
      </c>
      <c r="R59" s="4" t="str">
        <f t="shared" si="114"/>
        <v>0.00</v>
      </c>
      <c r="S59" s="4" t="str">
        <f t="shared" si="114"/>
        <v>0.00</v>
      </c>
      <c r="T59" s="4" t="str">
        <f t="shared" si="114"/>
        <v>0.00</v>
      </c>
      <c r="U59" s="4" t="str">
        <f t="shared" si="114"/>
        <v>0.00</v>
      </c>
      <c r="V59" s="4" t="str">
        <f t="shared" si="114"/>
        <v>0.00</v>
      </c>
      <c r="W59" s="4" t="str">
        <f t="shared" si="114"/>
        <v>0.00</v>
      </c>
      <c r="X59" s="4" t="str">
        <f t="shared" si="96"/>
        <v>0.00000</v>
      </c>
      <c r="Y59" s="4" t="str">
        <f t="shared" si="97"/>
        <v>0</v>
      </c>
      <c r="Z59" s="4" t="str">
        <f t="shared" si="98"/>
        <v>0</v>
      </c>
      <c r="AA59" s="4" t="str">
        <f t="shared" si="13"/>
        <v>人民币</v>
      </c>
      <c r="AB59" s="4" t="str">
        <f t="shared" si="14"/>
        <v>A368402599</v>
      </c>
    </row>
    <row r="60" spans="1:28">
      <c r="A60" s="4" t="str">
        <f>"20210916"</f>
        <v>20210916</v>
      </c>
      <c r="B60" s="4" t="str">
        <f>"20210916"</f>
        <v>20210916</v>
      </c>
      <c r="C60" s="4" t="str">
        <f t="shared" si="86"/>
        <v>0</v>
      </c>
      <c r="D60" s="4" t="str">
        <f t="shared" si="87"/>
        <v>00:00:00</v>
      </c>
      <c r="E60" s="4" t="str">
        <f t="shared" si="88"/>
        <v>港股通组合费</v>
      </c>
      <c r="F60" s="4" t="str">
        <f t="shared" si="89"/>
        <v/>
      </c>
      <c r="G60" s="4" t="str">
        <f t="shared" si="90"/>
        <v/>
      </c>
      <c r="H60" s="4" t="str">
        <f t="shared" si="91"/>
        <v>0.00</v>
      </c>
      <c r="I60" s="4" t="str">
        <f t="shared" si="92"/>
        <v>0</v>
      </c>
      <c r="J60" s="4" t="str">
        <f t="shared" si="111"/>
        <v>0.05</v>
      </c>
      <c r="K60" s="4" t="str">
        <f t="shared" si="112"/>
        <v>-0.05</v>
      </c>
      <c r="L60" s="4" t="str">
        <f t="shared" ref="L60:W60" si="115">"0.00"</f>
        <v>0.00</v>
      </c>
      <c r="M60" s="4" t="str">
        <f t="shared" si="94"/>
        <v>0.000</v>
      </c>
      <c r="N60" s="4" t="str">
        <f>"8149.95"</f>
        <v>8149.95</v>
      </c>
      <c r="O60" s="4" t="str">
        <f t="shared" si="95"/>
        <v>0</v>
      </c>
      <c r="P60" s="4" t="str">
        <f t="shared" si="115"/>
        <v>0.00</v>
      </c>
      <c r="Q60" s="4" t="str">
        <f t="shared" si="115"/>
        <v>0.00</v>
      </c>
      <c r="R60" s="4" t="str">
        <f t="shared" si="115"/>
        <v>0.00</v>
      </c>
      <c r="S60" s="4" t="str">
        <f t="shared" si="115"/>
        <v>0.00</v>
      </c>
      <c r="T60" s="4" t="str">
        <f t="shared" si="115"/>
        <v>0.00</v>
      </c>
      <c r="U60" s="4" t="str">
        <f t="shared" si="115"/>
        <v>0.00</v>
      </c>
      <c r="V60" s="4" t="str">
        <f t="shared" si="115"/>
        <v>0.00</v>
      </c>
      <c r="W60" s="4" t="str">
        <f t="shared" si="115"/>
        <v>0.00</v>
      </c>
      <c r="X60" s="4" t="str">
        <f t="shared" si="96"/>
        <v>0.00000</v>
      </c>
      <c r="Y60" s="4" t="str">
        <f t="shared" si="97"/>
        <v>0</v>
      </c>
      <c r="Z60" s="4" t="str">
        <f t="shared" si="98"/>
        <v>0</v>
      </c>
      <c r="AA60" s="4" t="str">
        <f t="shared" si="13"/>
        <v>人民币</v>
      </c>
      <c r="AB60" s="4" t="str">
        <f t="shared" si="14"/>
        <v>A368402599</v>
      </c>
    </row>
    <row r="61" spans="1:28">
      <c r="A61" s="4" t="str">
        <f>"20210917"</f>
        <v>20210917</v>
      </c>
      <c r="B61" s="4" t="str">
        <f>"20210917"</f>
        <v>20210917</v>
      </c>
      <c r="C61" s="4" t="str">
        <f t="shared" si="86"/>
        <v>0</v>
      </c>
      <c r="D61" s="4" t="str">
        <f t="shared" si="87"/>
        <v>00:00:00</v>
      </c>
      <c r="E61" s="4" t="str">
        <f t="shared" si="88"/>
        <v>港股通组合费</v>
      </c>
      <c r="F61" s="4" t="str">
        <f t="shared" si="89"/>
        <v/>
      </c>
      <c r="G61" s="4" t="str">
        <f t="shared" si="90"/>
        <v/>
      </c>
      <c r="H61" s="4" t="str">
        <f t="shared" si="91"/>
        <v>0.00</v>
      </c>
      <c r="I61" s="4" t="str">
        <f t="shared" si="92"/>
        <v>0</v>
      </c>
      <c r="J61" s="4" t="str">
        <f t="shared" si="111"/>
        <v>0.05</v>
      </c>
      <c r="K61" s="4" t="str">
        <f t="shared" si="112"/>
        <v>-0.05</v>
      </c>
      <c r="L61" s="4" t="str">
        <f t="shared" ref="L61:W61" si="116">"0.00"</f>
        <v>0.00</v>
      </c>
      <c r="M61" s="4" t="str">
        <f t="shared" si="94"/>
        <v>0.000</v>
      </c>
      <c r="N61" s="4" t="str">
        <f>"8265.53"</f>
        <v>8265.53</v>
      </c>
      <c r="O61" s="4" t="str">
        <f t="shared" si="95"/>
        <v>0</v>
      </c>
      <c r="P61" s="4" t="str">
        <f t="shared" si="116"/>
        <v>0.00</v>
      </c>
      <c r="Q61" s="4" t="str">
        <f t="shared" si="116"/>
        <v>0.00</v>
      </c>
      <c r="R61" s="4" t="str">
        <f t="shared" si="116"/>
        <v>0.00</v>
      </c>
      <c r="S61" s="4" t="str">
        <f t="shared" si="116"/>
        <v>0.00</v>
      </c>
      <c r="T61" s="4" t="str">
        <f t="shared" si="116"/>
        <v>0.00</v>
      </c>
      <c r="U61" s="4" t="str">
        <f t="shared" si="116"/>
        <v>0.00</v>
      </c>
      <c r="V61" s="4" t="str">
        <f t="shared" si="116"/>
        <v>0.00</v>
      </c>
      <c r="W61" s="4" t="str">
        <f t="shared" si="116"/>
        <v>0.00</v>
      </c>
      <c r="X61" s="4" t="str">
        <f t="shared" si="96"/>
        <v>0.00000</v>
      </c>
      <c r="Y61" s="4" t="str">
        <f t="shared" si="97"/>
        <v>0</v>
      </c>
      <c r="Z61" s="4" t="str">
        <f t="shared" si="98"/>
        <v>0</v>
      </c>
      <c r="AA61" s="4" t="str">
        <f t="shared" si="13"/>
        <v>人民币</v>
      </c>
      <c r="AB61" s="4" t="str">
        <f t="shared" si="14"/>
        <v>A368402599</v>
      </c>
    </row>
    <row r="62" spans="1:28">
      <c r="A62" s="4" t="str">
        <f>"20210923"</f>
        <v>20210923</v>
      </c>
      <c r="B62" s="4" t="str">
        <f>"20210923"</f>
        <v>20210923</v>
      </c>
      <c r="C62" s="4" t="str">
        <f t="shared" si="86"/>
        <v>0</v>
      </c>
      <c r="D62" s="4" t="str">
        <f t="shared" si="87"/>
        <v>00:00:00</v>
      </c>
      <c r="E62" s="4" t="str">
        <f t="shared" si="88"/>
        <v>港股通组合费</v>
      </c>
      <c r="F62" s="4" t="str">
        <f t="shared" si="89"/>
        <v/>
      </c>
      <c r="G62" s="4" t="str">
        <f t="shared" si="90"/>
        <v/>
      </c>
      <c r="H62" s="4" t="str">
        <f t="shared" si="91"/>
        <v>0.00</v>
      </c>
      <c r="I62" s="4" t="str">
        <f t="shared" si="92"/>
        <v>0</v>
      </c>
      <c r="J62" s="4" t="str">
        <f>"0.30"</f>
        <v>0.30</v>
      </c>
      <c r="K62" s="4" t="str">
        <f>"-0.30"</f>
        <v>-0.30</v>
      </c>
      <c r="L62" s="4" t="str">
        <f t="shared" ref="L62:W62" si="117">"0.00"</f>
        <v>0.00</v>
      </c>
      <c r="M62" s="4" t="str">
        <f t="shared" si="94"/>
        <v>0.000</v>
      </c>
      <c r="N62" s="4" t="str">
        <f>"8536.56"</f>
        <v>8536.56</v>
      </c>
      <c r="O62" s="4" t="str">
        <f t="shared" si="95"/>
        <v>0</v>
      </c>
      <c r="P62" s="4" t="str">
        <f t="shared" si="117"/>
        <v>0.00</v>
      </c>
      <c r="Q62" s="4" t="str">
        <f t="shared" si="117"/>
        <v>0.00</v>
      </c>
      <c r="R62" s="4" t="str">
        <f t="shared" si="117"/>
        <v>0.00</v>
      </c>
      <c r="S62" s="4" t="str">
        <f t="shared" si="117"/>
        <v>0.00</v>
      </c>
      <c r="T62" s="4" t="str">
        <f t="shared" si="117"/>
        <v>0.00</v>
      </c>
      <c r="U62" s="4" t="str">
        <f t="shared" si="117"/>
        <v>0.00</v>
      </c>
      <c r="V62" s="4" t="str">
        <f t="shared" si="117"/>
        <v>0.00</v>
      </c>
      <c r="W62" s="4" t="str">
        <f t="shared" si="117"/>
        <v>0.00</v>
      </c>
      <c r="X62" s="4" t="str">
        <f t="shared" si="96"/>
        <v>0.00000</v>
      </c>
      <c r="Y62" s="4" t="str">
        <f t="shared" si="97"/>
        <v>0</v>
      </c>
      <c r="Z62" s="4" t="str">
        <f t="shared" si="98"/>
        <v>0</v>
      </c>
      <c r="AA62" s="4" t="str">
        <f t="shared" si="13"/>
        <v>人民币</v>
      </c>
      <c r="AB62" s="4" t="str">
        <f t="shared" si="14"/>
        <v>A368402599</v>
      </c>
    </row>
    <row r="63" spans="1:28">
      <c r="A63" s="4" t="str">
        <f>"20210924"</f>
        <v>20210924</v>
      </c>
      <c r="B63" s="4" t="str">
        <f>"20210924"</f>
        <v>20210924</v>
      </c>
      <c r="C63" s="4" t="str">
        <f t="shared" si="86"/>
        <v>0</v>
      </c>
      <c r="D63" s="4" t="str">
        <f t="shared" si="87"/>
        <v>00:00:00</v>
      </c>
      <c r="E63" s="4" t="str">
        <f t="shared" si="88"/>
        <v>港股通组合费</v>
      </c>
      <c r="F63" s="4" t="str">
        <f t="shared" si="89"/>
        <v/>
      </c>
      <c r="G63" s="4" t="str">
        <f t="shared" si="90"/>
        <v/>
      </c>
      <c r="H63" s="4" t="str">
        <f t="shared" si="91"/>
        <v>0.00</v>
      </c>
      <c r="I63" s="4" t="str">
        <f t="shared" si="92"/>
        <v>0</v>
      </c>
      <c r="J63" s="4" t="str">
        <f t="shared" ref="J63:J67" si="118">"0.05"</f>
        <v>0.05</v>
      </c>
      <c r="K63" s="4" t="str">
        <f t="shared" ref="K63:K67" si="119">"-0.05"</f>
        <v>-0.05</v>
      </c>
      <c r="L63" s="4" t="str">
        <f t="shared" ref="L63:W63" si="120">"0.00"</f>
        <v>0.00</v>
      </c>
      <c r="M63" s="4" t="str">
        <f t="shared" si="94"/>
        <v>0.000</v>
      </c>
      <c r="N63" s="4" t="str">
        <f>"8536.51"</f>
        <v>8536.51</v>
      </c>
      <c r="O63" s="4" t="str">
        <f t="shared" si="95"/>
        <v>0</v>
      </c>
      <c r="P63" s="4" t="str">
        <f t="shared" si="120"/>
        <v>0.00</v>
      </c>
      <c r="Q63" s="4" t="str">
        <f t="shared" si="120"/>
        <v>0.00</v>
      </c>
      <c r="R63" s="4" t="str">
        <f t="shared" si="120"/>
        <v>0.00</v>
      </c>
      <c r="S63" s="4" t="str">
        <f t="shared" si="120"/>
        <v>0.00</v>
      </c>
      <c r="T63" s="4" t="str">
        <f t="shared" si="120"/>
        <v>0.00</v>
      </c>
      <c r="U63" s="4" t="str">
        <f t="shared" si="120"/>
        <v>0.00</v>
      </c>
      <c r="V63" s="4" t="str">
        <f t="shared" si="120"/>
        <v>0.00</v>
      </c>
      <c r="W63" s="4" t="str">
        <f t="shared" si="120"/>
        <v>0.00</v>
      </c>
      <c r="X63" s="4" t="str">
        <f t="shared" si="96"/>
        <v>0.00000</v>
      </c>
      <c r="Y63" s="4" t="str">
        <f t="shared" si="97"/>
        <v>0</v>
      </c>
      <c r="Z63" s="4" t="str">
        <f t="shared" si="98"/>
        <v>0</v>
      </c>
      <c r="AA63" s="4" t="str">
        <f t="shared" si="13"/>
        <v>人民币</v>
      </c>
      <c r="AB63" s="4" t="str">
        <f t="shared" si="14"/>
        <v>A368402599</v>
      </c>
    </row>
    <row r="64" spans="1:28">
      <c r="A64" s="4" t="str">
        <f>"20210927"</f>
        <v>20210927</v>
      </c>
      <c r="B64" s="4" t="str">
        <f>"20210927"</f>
        <v>20210927</v>
      </c>
      <c r="C64" s="4" t="str">
        <f t="shared" si="86"/>
        <v>0</v>
      </c>
      <c r="D64" s="4" t="str">
        <f t="shared" si="87"/>
        <v>00:00:00</v>
      </c>
      <c r="E64" s="4" t="str">
        <f t="shared" si="88"/>
        <v>港股通组合费</v>
      </c>
      <c r="F64" s="4" t="str">
        <f t="shared" si="89"/>
        <v/>
      </c>
      <c r="G64" s="4" t="str">
        <f t="shared" si="90"/>
        <v/>
      </c>
      <c r="H64" s="4" t="str">
        <f t="shared" si="91"/>
        <v>0.00</v>
      </c>
      <c r="I64" s="4" t="str">
        <f t="shared" si="92"/>
        <v>0</v>
      </c>
      <c r="J64" s="4" t="str">
        <f>"0.15"</f>
        <v>0.15</v>
      </c>
      <c r="K64" s="4" t="str">
        <f>"-0.15"</f>
        <v>-0.15</v>
      </c>
      <c r="L64" s="4" t="str">
        <f t="shared" ref="L64:W64" si="121">"0.00"</f>
        <v>0.00</v>
      </c>
      <c r="M64" s="4" t="str">
        <f t="shared" si="94"/>
        <v>0.000</v>
      </c>
      <c r="N64" s="4" t="str">
        <f>"8536.36"</f>
        <v>8536.36</v>
      </c>
      <c r="O64" s="4" t="str">
        <f t="shared" si="95"/>
        <v>0</v>
      </c>
      <c r="P64" s="4" t="str">
        <f t="shared" si="121"/>
        <v>0.00</v>
      </c>
      <c r="Q64" s="4" t="str">
        <f t="shared" si="121"/>
        <v>0.00</v>
      </c>
      <c r="R64" s="4" t="str">
        <f t="shared" si="121"/>
        <v>0.00</v>
      </c>
      <c r="S64" s="4" t="str">
        <f t="shared" si="121"/>
        <v>0.00</v>
      </c>
      <c r="T64" s="4" t="str">
        <f t="shared" si="121"/>
        <v>0.00</v>
      </c>
      <c r="U64" s="4" t="str">
        <f t="shared" si="121"/>
        <v>0.00</v>
      </c>
      <c r="V64" s="4" t="str">
        <f t="shared" si="121"/>
        <v>0.00</v>
      </c>
      <c r="W64" s="4" t="str">
        <f t="shared" si="121"/>
        <v>0.00</v>
      </c>
      <c r="X64" s="4" t="str">
        <f t="shared" si="96"/>
        <v>0.00000</v>
      </c>
      <c r="Y64" s="4" t="str">
        <f t="shared" si="97"/>
        <v>0</v>
      </c>
      <c r="Z64" s="4" t="str">
        <f t="shared" si="98"/>
        <v>0</v>
      </c>
      <c r="AA64" s="4" t="str">
        <f t="shared" si="13"/>
        <v>人民币</v>
      </c>
      <c r="AB64" s="4" t="str">
        <f t="shared" si="14"/>
        <v>A368402599</v>
      </c>
    </row>
    <row r="65" spans="1:28">
      <c r="A65" s="4" t="str">
        <f>"20210928"</f>
        <v>20210928</v>
      </c>
      <c r="B65" s="4" t="str">
        <f>"20210928"</f>
        <v>20210928</v>
      </c>
      <c r="C65" s="4" t="str">
        <f t="shared" si="86"/>
        <v>0</v>
      </c>
      <c r="D65" s="4" t="str">
        <f t="shared" si="87"/>
        <v>00:00:00</v>
      </c>
      <c r="E65" s="4" t="str">
        <f t="shared" si="88"/>
        <v>港股通组合费</v>
      </c>
      <c r="F65" s="4" t="str">
        <f t="shared" si="89"/>
        <v/>
      </c>
      <c r="G65" s="4" t="str">
        <f t="shared" si="90"/>
        <v/>
      </c>
      <c r="H65" s="4" t="str">
        <f t="shared" si="91"/>
        <v>0.00</v>
      </c>
      <c r="I65" s="4" t="str">
        <f t="shared" si="92"/>
        <v>0</v>
      </c>
      <c r="J65" s="4" t="str">
        <f t="shared" si="118"/>
        <v>0.05</v>
      </c>
      <c r="K65" s="4" t="str">
        <f t="shared" si="119"/>
        <v>-0.05</v>
      </c>
      <c r="L65" s="4" t="str">
        <f t="shared" ref="L65:W65" si="122">"0.00"</f>
        <v>0.00</v>
      </c>
      <c r="M65" s="4" t="str">
        <f t="shared" si="94"/>
        <v>0.000</v>
      </c>
      <c r="N65" s="4" t="str">
        <f>"8536.31"</f>
        <v>8536.31</v>
      </c>
      <c r="O65" s="4" t="str">
        <f t="shared" si="95"/>
        <v>0</v>
      </c>
      <c r="P65" s="4" t="str">
        <f t="shared" si="122"/>
        <v>0.00</v>
      </c>
      <c r="Q65" s="4" t="str">
        <f t="shared" si="122"/>
        <v>0.00</v>
      </c>
      <c r="R65" s="4" t="str">
        <f t="shared" si="122"/>
        <v>0.00</v>
      </c>
      <c r="S65" s="4" t="str">
        <f t="shared" si="122"/>
        <v>0.00</v>
      </c>
      <c r="T65" s="4" t="str">
        <f t="shared" si="122"/>
        <v>0.00</v>
      </c>
      <c r="U65" s="4" t="str">
        <f t="shared" si="122"/>
        <v>0.00</v>
      </c>
      <c r="V65" s="4" t="str">
        <f t="shared" si="122"/>
        <v>0.00</v>
      </c>
      <c r="W65" s="4" t="str">
        <f t="shared" si="122"/>
        <v>0.00</v>
      </c>
      <c r="X65" s="4" t="str">
        <f t="shared" si="96"/>
        <v>0.00000</v>
      </c>
      <c r="Y65" s="4" t="str">
        <f t="shared" si="97"/>
        <v>0</v>
      </c>
      <c r="Z65" s="4" t="str">
        <f t="shared" si="98"/>
        <v>0</v>
      </c>
      <c r="AA65" s="4" t="str">
        <f t="shared" si="13"/>
        <v>人民币</v>
      </c>
      <c r="AB65" s="4" t="str">
        <f t="shared" si="14"/>
        <v>A368402599</v>
      </c>
    </row>
    <row r="66" spans="1:28">
      <c r="A66" s="4" t="str">
        <f>"20210929"</f>
        <v>20210929</v>
      </c>
      <c r="B66" s="4" t="str">
        <f>"20210929"</f>
        <v>20210929</v>
      </c>
      <c r="C66" s="4" t="str">
        <f t="shared" si="86"/>
        <v>0</v>
      </c>
      <c r="D66" s="4" t="str">
        <f t="shared" si="87"/>
        <v>00:00:00</v>
      </c>
      <c r="E66" s="4" t="str">
        <f t="shared" si="88"/>
        <v>港股通组合费</v>
      </c>
      <c r="F66" s="4" t="str">
        <f t="shared" si="89"/>
        <v/>
      </c>
      <c r="G66" s="4" t="str">
        <f t="shared" si="90"/>
        <v/>
      </c>
      <c r="H66" s="4" t="str">
        <f t="shared" si="91"/>
        <v>0.00</v>
      </c>
      <c r="I66" s="4" t="str">
        <f t="shared" si="92"/>
        <v>0</v>
      </c>
      <c r="J66" s="4" t="str">
        <f t="shared" si="118"/>
        <v>0.05</v>
      </c>
      <c r="K66" s="4" t="str">
        <f t="shared" si="119"/>
        <v>-0.05</v>
      </c>
      <c r="L66" s="4" t="str">
        <f t="shared" ref="L66:W66" si="123">"0.00"</f>
        <v>0.00</v>
      </c>
      <c r="M66" s="4" t="str">
        <f t="shared" si="94"/>
        <v>0.000</v>
      </c>
      <c r="N66" s="4" t="str">
        <f>"8536.26"</f>
        <v>8536.26</v>
      </c>
      <c r="O66" s="4" t="str">
        <f t="shared" si="95"/>
        <v>0</v>
      </c>
      <c r="P66" s="4" t="str">
        <f t="shared" si="123"/>
        <v>0.00</v>
      </c>
      <c r="Q66" s="4" t="str">
        <f t="shared" si="123"/>
        <v>0.00</v>
      </c>
      <c r="R66" s="4" t="str">
        <f t="shared" si="123"/>
        <v>0.00</v>
      </c>
      <c r="S66" s="4" t="str">
        <f t="shared" si="123"/>
        <v>0.00</v>
      </c>
      <c r="T66" s="4" t="str">
        <f t="shared" si="123"/>
        <v>0.00</v>
      </c>
      <c r="U66" s="4" t="str">
        <f t="shared" si="123"/>
        <v>0.00</v>
      </c>
      <c r="V66" s="4" t="str">
        <f t="shared" si="123"/>
        <v>0.00</v>
      </c>
      <c r="W66" s="4" t="str">
        <f t="shared" si="123"/>
        <v>0.00</v>
      </c>
      <c r="X66" s="4" t="str">
        <f t="shared" si="96"/>
        <v>0.00000</v>
      </c>
      <c r="Y66" s="4" t="str">
        <f t="shared" si="97"/>
        <v>0</v>
      </c>
      <c r="Z66" s="4" t="str">
        <f t="shared" si="98"/>
        <v>0</v>
      </c>
      <c r="AA66" s="4" t="str">
        <f t="shared" si="13"/>
        <v>人民币</v>
      </c>
      <c r="AB66" s="4" t="str">
        <f t="shared" si="14"/>
        <v>A368402599</v>
      </c>
    </row>
    <row r="67" spans="1:28">
      <c r="A67" s="4" t="str">
        <f>"20210930"</f>
        <v>20210930</v>
      </c>
      <c r="B67" s="4" t="str">
        <f>"20210930"</f>
        <v>20210930</v>
      </c>
      <c r="C67" s="4" t="str">
        <f t="shared" si="86"/>
        <v>0</v>
      </c>
      <c r="D67" s="4" t="str">
        <f t="shared" si="87"/>
        <v>00:00:00</v>
      </c>
      <c r="E67" s="4" t="str">
        <f t="shared" si="88"/>
        <v>港股通组合费</v>
      </c>
      <c r="F67" s="4" t="str">
        <f t="shared" si="89"/>
        <v/>
      </c>
      <c r="G67" s="4" t="str">
        <f t="shared" si="90"/>
        <v/>
      </c>
      <c r="H67" s="4" t="str">
        <f t="shared" si="91"/>
        <v>0.00</v>
      </c>
      <c r="I67" s="4" t="str">
        <f t="shared" si="92"/>
        <v>0</v>
      </c>
      <c r="J67" s="4" t="str">
        <f t="shared" si="118"/>
        <v>0.05</v>
      </c>
      <c r="K67" s="4" t="str">
        <f t="shared" si="119"/>
        <v>-0.05</v>
      </c>
      <c r="L67" s="4" t="str">
        <f t="shared" ref="L67:W67" si="124">"0.00"</f>
        <v>0.00</v>
      </c>
      <c r="M67" s="4" t="str">
        <f t="shared" si="94"/>
        <v>0.000</v>
      </c>
      <c r="N67" s="4" t="str">
        <f>"8536.21"</f>
        <v>8536.21</v>
      </c>
      <c r="O67" s="4" t="str">
        <f t="shared" si="95"/>
        <v>0</v>
      </c>
      <c r="P67" s="4" t="str">
        <f t="shared" si="124"/>
        <v>0.00</v>
      </c>
      <c r="Q67" s="4" t="str">
        <f t="shared" si="124"/>
        <v>0.00</v>
      </c>
      <c r="R67" s="4" t="str">
        <f t="shared" si="124"/>
        <v>0.00</v>
      </c>
      <c r="S67" s="4" t="str">
        <f t="shared" si="124"/>
        <v>0.00</v>
      </c>
      <c r="T67" s="4" t="str">
        <f t="shared" si="124"/>
        <v>0.00</v>
      </c>
      <c r="U67" s="4" t="str">
        <f t="shared" si="124"/>
        <v>0.00</v>
      </c>
      <c r="V67" s="4" t="str">
        <f t="shared" si="124"/>
        <v>0.00</v>
      </c>
      <c r="W67" s="4" t="str">
        <f t="shared" si="124"/>
        <v>0.00</v>
      </c>
      <c r="X67" s="4" t="str">
        <f t="shared" si="96"/>
        <v>0.00000</v>
      </c>
      <c r="Y67" s="4" t="str">
        <f t="shared" si="97"/>
        <v>0</v>
      </c>
      <c r="Z67" s="4" t="str">
        <f t="shared" si="98"/>
        <v>0</v>
      </c>
      <c r="AA67" s="4" t="str">
        <f>"人民币"</f>
        <v>人民币</v>
      </c>
      <c r="AB67" s="4" t="str">
        <f>"A368402599"</f>
        <v>A368402599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6"/>
  <sheetViews>
    <sheetView zoomScaleSheetLayoutView="60" topLeftCell="A16" workbookViewId="0">
      <selection activeCell="A1" sqref="A1:K1"/>
    </sheetView>
  </sheetViews>
  <sheetFormatPr defaultColWidth="9" defaultRowHeight="13.5"/>
  <cols>
    <col min="1" max="16384" width="9" style="4"/>
  </cols>
  <sheetData>
    <row r="1" spans="1:15">
      <c r="A1" s="4" t="str">
        <f>"成交日期"</f>
        <v>成交日期</v>
      </c>
      <c r="B1" s="4" t="str">
        <f>"委托日期"</f>
        <v>委托日期</v>
      </c>
      <c r="C1" s="4" t="str">
        <f>"业务类型"</f>
        <v>业务类型</v>
      </c>
      <c r="D1" s="4" t="str">
        <f>"证券代码"</f>
        <v>证券代码</v>
      </c>
      <c r="E1" s="4" t="str">
        <f>"证券名称"</f>
        <v>证券名称</v>
      </c>
      <c r="F1" s="4" t="str">
        <f>"成交价格"</f>
        <v>成交价格</v>
      </c>
      <c r="G1" s="4" t="str">
        <f>"成交数量"</f>
        <v>成交数量</v>
      </c>
      <c r="H1" s="4" t="str">
        <f>"成交金额"</f>
        <v>成交金额</v>
      </c>
      <c r="I1" s="4" t="str">
        <f>"发生金额"</f>
        <v>发生金额</v>
      </c>
      <c r="J1" s="4" t="str">
        <f>"资金余额"</f>
        <v>资金余额</v>
      </c>
      <c r="K1" s="4" t="str">
        <f>"当前持仓"</f>
        <v>当前持仓</v>
      </c>
      <c r="L1" s="4" t="str">
        <f>"币种"</f>
        <v>币种</v>
      </c>
      <c r="M1" s="4" t="str">
        <f>"协议编号"</f>
        <v>协议编号</v>
      </c>
      <c r="N1" s="4" t="str">
        <f>"股东代码"</f>
        <v>股东代码</v>
      </c>
      <c r="O1" s="4" t="str">
        <f>"产品账号"</f>
        <v>产品账号</v>
      </c>
    </row>
    <row r="2" spans="1:15">
      <c r="A2" s="4" t="str">
        <f>"20211011"</f>
        <v>20211011</v>
      </c>
      <c r="B2" s="4" t="str">
        <f>"20211011"</f>
        <v>20211011</v>
      </c>
      <c r="C2" s="4" t="str">
        <f>"证券转银行"</f>
        <v>证券转银行</v>
      </c>
      <c r="F2" s="4">
        <v>0</v>
      </c>
      <c r="G2" s="4">
        <v>0</v>
      </c>
      <c r="H2" s="4">
        <v>0</v>
      </c>
      <c r="I2" s="4">
        <v>-12000</v>
      </c>
      <c r="J2" s="4">
        <v>3447.81</v>
      </c>
      <c r="K2" s="4">
        <v>0</v>
      </c>
      <c r="L2" s="4" t="str">
        <f t="shared" ref="L2:L65" si="0">"人民币"</f>
        <v>人民币</v>
      </c>
      <c r="O2" s="4" t="str">
        <f t="shared" ref="O2:O65" si="1">"300100052893"</f>
        <v>300100052893</v>
      </c>
    </row>
    <row r="3" spans="1:15">
      <c r="A3" s="4" t="str">
        <f>"20211011"</f>
        <v>20211011</v>
      </c>
      <c r="B3" s="4" t="str">
        <f>"20211011"</f>
        <v>20211011</v>
      </c>
      <c r="C3" s="4" t="str">
        <f>"基金赎回拨入"</f>
        <v>基金赎回拨入</v>
      </c>
      <c r="D3" s="4" t="str">
        <f t="shared" ref="D3:D7" si="2">"AA0007"</f>
        <v>AA0007</v>
      </c>
      <c r="E3" s="4" t="str">
        <f t="shared" ref="E3:E7" si="3">"银河水星1号集合"</f>
        <v>银河水星1号集合</v>
      </c>
      <c r="F3" s="4">
        <v>0</v>
      </c>
      <c r="G3" s="4">
        <v>4942</v>
      </c>
      <c r="H3" s="4">
        <v>0</v>
      </c>
      <c r="I3" s="4">
        <v>4942.19</v>
      </c>
      <c r="J3" s="4">
        <v>8390</v>
      </c>
      <c r="K3" s="4">
        <v>0</v>
      </c>
      <c r="L3" s="4" t="str">
        <f t="shared" si="0"/>
        <v>人民币</v>
      </c>
      <c r="N3" s="4" t="str">
        <f t="shared" ref="N3:N7" si="4">"980149593788"</f>
        <v>980149593788</v>
      </c>
      <c r="O3" s="4" t="str">
        <f t="shared" si="1"/>
        <v>300100052893</v>
      </c>
    </row>
    <row r="4" spans="1:15">
      <c r="A4" s="4" t="str">
        <f t="shared" ref="A4:A6" si="5">"20211012"</f>
        <v>20211012</v>
      </c>
      <c r="B4" s="4" t="str">
        <f t="shared" ref="B4:B6" si="6">"20211012"</f>
        <v>20211012</v>
      </c>
      <c r="C4" s="4" t="str">
        <f>"基金赎回拨入"</f>
        <v>基金赎回拨入</v>
      </c>
      <c r="D4" s="4" t="str">
        <f t="shared" si="2"/>
        <v>AA0007</v>
      </c>
      <c r="E4" s="4" t="str">
        <f t="shared" si="3"/>
        <v>银河水星1号集合</v>
      </c>
      <c r="F4" s="4">
        <v>0</v>
      </c>
      <c r="G4" s="4">
        <v>16390</v>
      </c>
      <c r="H4" s="4">
        <v>0</v>
      </c>
      <c r="I4" s="4">
        <v>16390.15</v>
      </c>
      <c r="J4" s="4">
        <v>24780</v>
      </c>
      <c r="K4" s="4">
        <v>0</v>
      </c>
      <c r="L4" s="4" t="str">
        <f t="shared" si="0"/>
        <v>人民币</v>
      </c>
      <c r="N4" s="4" t="str">
        <f t="shared" si="4"/>
        <v>980149593788</v>
      </c>
      <c r="O4" s="4" t="str">
        <f t="shared" si="1"/>
        <v>300100052893</v>
      </c>
    </row>
    <row r="5" spans="1:15">
      <c r="A5" s="4" t="str">
        <f t="shared" si="5"/>
        <v>20211012</v>
      </c>
      <c r="B5" s="4" t="str">
        <f t="shared" si="6"/>
        <v>20211012</v>
      </c>
      <c r="C5" s="4" t="str">
        <f>"证券买入"</f>
        <v>证券买入</v>
      </c>
      <c r="D5" s="4" t="str">
        <f t="shared" ref="D5:D8" si="7">"159781"</f>
        <v>159781</v>
      </c>
      <c r="E5" s="4" t="str">
        <f t="shared" ref="E5:E8" si="8">"科创创业"</f>
        <v>科创创业</v>
      </c>
      <c r="F5" s="4">
        <v>0.838</v>
      </c>
      <c r="G5" s="4">
        <v>10000</v>
      </c>
      <c r="H5" s="4">
        <v>8380</v>
      </c>
      <c r="I5" s="4">
        <v>-8385</v>
      </c>
      <c r="J5" s="4">
        <v>16395</v>
      </c>
      <c r="K5" s="4">
        <v>20000</v>
      </c>
      <c r="L5" s="4" t="str">
        <f t="shared" si="0"/>
        <v>人民币</v>
      </c>
      <c r="M5" s="4" t="str">
        <f>"T4000305"</f>
        <v>T4000305</v>
      </c>
      <c r="N5" s="4" t="str">
        <f t="shared" ref="N5:N8" si="9">"0149593788"</f>
        <v>0149593788</v>
      </c>
      <c r="O5" s="4" t="str">
        <f t="shared" si="1"/>
        <v>300100052893</v>
      </c>
    </row>
    <row r="6" spans="1:15">
      <c r="A6" s="4" t="str">
        <f t="shared" si="5"/>
        <v>20211012</v>
      </c>
      <c r="B6" s="4" t="str">
        <f t="shared" si="6"/>
        <v>20211012</v>
      </c>
      <c r="C6" s="4" t="str">
        <f>"证券买入"</f>
        <v>证券买入</v>
      </c>
      <c r="D6" s="4" t="str">
        <f t="shared" si="7"/>
        <v>159781</v>
      </c>
      <c r="E6" s="4" t="str">
        <f t="shared" si="8"/>
        <v>科创创业</v>
      </c>
      <c r="F6" s="4">
        <v>0.825</v>
      </c>
      <c r="G6" s="4">
        <v>10000</v>
      </c>
      <c r="H6" s="4">
        <v>8250</v>
      </c>
      <c r="I6" s="4">
        <v>-8255</v>
      </c>
      <c r="J6" s="4">
        <v>8140</v>
      </c>
      <c r="K6" s="4">
        <v>30000</v>
      </c>
      <c r="L6" s="4" t="str">
        <f t="shared" si="0"/>
        <v>人民币</v>
      </c>
      <c r="M6" s="4" t="str">
        <f>"T4008788"</f>
        <v>T4008788</v>
      </c>
      <c r="N6" s="4" t="str">
        <f t="shared" si="9"/>
        <v>0149593788</v>
      </c>
      <c r="O6" s="4" t="str">
        <f t="shared" si="1"/>
        <v>300100052893</v>
      </c>
    </row>
    <row r="7" spans="1:15">
      <c r="A7" s="4" t="str">
        <f>"20211013"</f>
        <v>20211013</v>
      </c>
      <c r="B7" s="4" t="str">
        <f>"20211013"</f>
        <v>20211013</v>
      </c>
      <c r="C7" s="4" t="str">
        <f>"基金申购拨出"</f>
        <v>基金申购拨出</v>
      </c>
      <c r="D7" s="4" t="str">
        <f t="shared" si="2"/>
        <v>AA0007</v>
      </c>
      <c r="E7" s="4" t="str">
        <f t="shared" si="3"/>
        <v>银河水星1号集合</v>
      </c>
      <c r="F7" s="4">
        <v>0</v>
      </c>
      <c r="G7" s="4">
        <v>0</v>
      </c>
      <c r="H7" s="4">
        <v>0</v>
      </c>
      <c r="I7" s="4">
        <v>-8254.95</v>
      </c>
      <c r="J7" s="4">
        <v>-115</v>
      </c>
      <c r="K7" s="4">
        <v>0</v>
      </c>
      <c r="L7" s="4" t="str">
        <f t="shared" si="0"/>
        <v>人民币</v>
      </c>
      <c r="N7" s="4" t="str">
        <f t="shared" si="4"/>
        <v>980149593788</v>
      </c>
      <c r="O7" s="4" t="str">
        <f t="shared" si="1"/>
        <v>300100052893</v>
      </c>
    </row>
    <row r="8" spans="1:15">
      <c r="A8" s="4" t="str">
        <f>"20211013"</f>
        <v>20211013</v>
      </c>
      <c r="B8" s="4" t="str">
        <f>"20211013"</f>
        <v>20211013</v>
      </c>
      <c r="C8" s="4" t="str">
        <f>"证券卖出"</f>
        <v>证券卖出</v>
      </c>
      <c r="D8" s="4" t="str">
        <f t="shared" si="7"/>
        <v>159781</v>
      </c>
      <c r="E8" s="4" t="str">
        <f t="shared" si="8"/>
        <v>科创创业</v>
      </c>
      <c r="F8" s="4">
        <v>0.837</v>
      </c>
      <c r="G8" s="4">
        <v>10000</v>
      </c>
      <c r="H8" s="4">
        <v>8370</v>
      </c>
      <c r="I8" s="4">
        <v>8365</v>
      </c>
      <c r="J8" s="4">
        <v>8250</v>
      </c>
      <c r="K8" s="4">
        <v>20000</v>
      </c>
      <c r="L8" s="4" t="str">
        <f t="shared" si="0"/>
        <v>人民币</v>
      </c>
      <c r="M8" s="4" t="str">
        <f>"T4000188"</f>
        <v>T4000188</v>
      </c>
      <c r="N8" s="4" t="str">
        <f t="shared" si="9"/>
        <v>0149593788</v>
      </c>
      <c r="O8" s="4" t="str">
        <f t="shared" si="1"/>
        <v>300100052893</v>
      </c>
    </row>
    <row r="9" spans="1:15">
      <c r="A9" s="4" t="str">
        <f>"20211014"</f>
        <v>20211014</v>
      </c>
      <c r="B9" s="4" t="str">
        <f>"20211014"</f>
        <v>20211014</v>
      </c>
      <c r="C9" s="4" t="str">
        <f>"基金申购拨出"</f>
        <v>基金申购拨出</v>
      </c>
      <c r="D9" s="4" t="str">
        <f t="shared" ref="D9:D17" si="10">"AA0007"</f>
        <v>AA0007</v>
      </c>
      <c r="E9" s="4" t="str">
        <f t="shared" ref="E9:E17" si="11">"银河水星1号集合"</f>
        <v>银河水星1号集合</v>
      </c>
      <c r="F9" s="4">
        <v>0</v>
      </c>
      <c r="G9" s="4">
        <v>0</v>
      </c>
      <c r="H9" s="4">
        <v>0</v>
      </c>
      <c r="I9" s="4">
        <v>-8374.95</v>
      </c>
      <c r="J9" s="4">
        <v>-125</v>
      </c>
      <c r="K9" s="4">
        <v>0</v>
      </c>
      <c r="L9" s="4" t="str">
        <f t="shared" si="0"/>
        <v>人民币</v>
      </c>
      <c r="N9" s="4" t="str">
        <f t="shared" ref="N9:N17" si="12">"980149593788"</f>
        <v>980149593788</v>
      </c>
      <c r="O9" s="4" t="str">
        <f t="shared" si="1"/>
        <v>300100052893</v>
      </c>
    </row>
    <row r="10" spans="1:15">
      <c r="A10" s="4" t="str">
        <f>"20211014"</f>
        <v>20211014</v>
      </c>
      <c r="B10" s="4" t="str">
        <f>"20211014"</f>
        <v>20211014</v>
      </c>
      <c r="C10" s="4" t="str">
        <f>"证券卖出"</f>
        <v>证券卖出</v>
      </c>
      <c r="D10" s="4" t="str">
        <f>"159781"</f>
        <v>159781</v>
      </c>
      <c r="E10" s="4" t="str">
        <f>"科创创业"</f>
        <v>科创创业</v>
      </c>
      <c r="F10" s="4">
        <v>0.85</v>
      </c>
      <c r="G10" s="4">
        <v>10000</v>
      </c>
      <c r="H10" s="4">
        <v>8500</v>
      </c>
      <c r="I10" s="4">
        <v>8495</v>
      </c>
      <c r="J10" s="4">
        <v>8370</v>
      </c>
      <c r="K10" s="4">
        <v>10000</v>
      </c>
      <c r="L10" s="4" t="str">
        <f t="shared" si="0"/>
        <v>人民币</v>
      </c>
      <c r="M10" s="4" t="str">
        <f>"T4000194"</f>
        <v>T4000194</v>
      </c>
      <c r="N10" s="4" t="str">
        <f>"0149593788"</f>
        <v>0149593788</v>
      </c>
      <c r="O10" s="4" t="str">
        <f t="shared" si="1"/>
        <v>300100052893</v>
      </c>
    </row>
    <row r="11" spans="1:15">
      <c r="A11" s="4" t="str">
        <f>"20211018"</f>
        <v>20211018</v>
      </c>
      <c r="B11" s="4" t="str">
        <f>"20211018"</f>
        <v>20211018</v>
      </c>
      <c r="C11" s="4" t="str">
        <f t="shared" ref="C11:C16" si="13">"基金赎回拨入"</f>
        <v>基金赎回拨入</v>
      </c>
      <c r="D11" s="4" t="str">
        <f t="shared" si="10"/>
        <v>AA0007</v>
      </c>
      <c r="E11" s="4" t="str">
        <f t="shared" si="11"/>
        <v>银河水星1号集合</v>
      </c>
      <c r="F11" s="4">
        <v>0</v>
      </c>
      <c r="G11" s="4">
        <v>0</v>
      </c>
      <c r="H11" s="4">
        <v>0</v>
      </c>
      <c r="I11" s="4">
        <v>0.1</v>
      </c>
      <c r="J11" s="4">
        <v>8370</v>
      </c>
      <c r="K11" s="4">
        <v>0</v>
      </c>
      <c r="L11" s="4" t="str">
        <f t="shared" si="0"/>
        <v>人民币</v>
      </c>
      <c r="N11" s="4" t="str">
        <f t="shared" si="12"/>
        <v>980149593788</v>
      </c>
      <c r="O11" s="4" t="str">
        <f t="shared" si="1"/>
        <v>300100052893</v>
      </c>
    </row>
    <row r="12" spans="1:15">
      <c r="A12" s="4" t="str">
        <f>"20211019"</f>
        <v>20211019</v>
      </c>
      <c r="B12" s="4" t="str">
        <f>"20211019"</f>
        <v>20211019</v>
      </c>
      <c r="C12" s="4" t="str">
        <f t="shared" si="13"/>
        <v>基金赎回拨入</v>
      </c>
      <c r="D12" s="4" t="str">
        <f t="shared" si="10"/>
        <v>AA0007</v>
      </c>
      <c r="E12" s="4" t="str">
        <f t="shared" si="11"/>
        <v>银河水星1号集合</v>
      </c>
      <c r="F12" s="4">
        <v>0</v>
      </c>
      <c r="G12" s="4">
        <v>0</v>
      </c>
      <c r="H12" s="4">
        <v>0</v>
      </c>
      <c r="I12" s="4">
        <v>0.15</v>
      </c>
      <c r="J12" s="4">
        <v>8370</v>
      </c>
      <c r="K12" s="4">
        <v>0</v>
      </c>
      <c r="L12" s="4" t="str">
        <f t="shared" si="0"/>
        <v>人民币</v>
      </c>
      <c r="N12" s="4" t="str">
        <f t="shared" si="12"/>
        <v>980149593788</v>
      </c>
      <c r="O12" s="4" t="str">
        <f t="shared" si="1"/>
        <v>300100052893</v>
      </c>
    </row>
    <row r="13" spans="1:15">
      <c r="A13" s="4" t="str">
        <f>"20211020"</f>
        <v>20211020</v>
      </c>
      <c r="B13" s="4" t="str">
        <f>"20211020"</f>
        <v>20211020</v>
      </c>
      <c r="C13" s="4" t="str">
        <f t="shared" si="13"/>
        <v>基金赎回拨入</v>
      </c>
      <c r="D13" s="4" t="str">
        <f t="shared" si="10"/>
        <v>AA0007</v>
      </c>
      <c r="E13" s="4" t="str">
        <f t="shared" si="11"/>
        <v>银河水星1号集合</v>
      </c>
      <c r="F13" s="4">
        <v>0</v>
      </c>
      <c r="G13" s="4">
        <v>0</v>
      </c>
      <c r="H13" s="4">
        <v>0</v>
      </c>
      <c r="I13" s="4">
        <v>0.05</v>
      </c>
      <c r="J13" s="4">
        <v>8370</v>
      </c>
      <c r="K13" s="4">
        <v>0</v>
      </c>
      <c r="L13" s="4" t="str">
        <f t="shared" si="0"/>
        <v>人民币</v>
      </c>
      <c r="N13" s="4" t="str">
        <f t="shared" si="12"/>
        <v>980149593788</v>
      </c>
      <c r="O13" s="4" t="str">
        <f t="shared" si="1"/>
        <v>300100052893</v>
      </c>
    </row>
    <row r="14" spans="1:15">
      <c r="A14" s="4" t="str">
        <f>"20211021"</f>
        <v>20211021</v>
      </c>
      <c r="B14" s="4" t="str">
        <f>"20211021"</f>
        <v>20211021</v>
      </c>
      <c r="C14" s="4" t="str">
        <f t="shared" si="13"/>
        <v>基金赎回拨入</v>
      </c>
      <c r="D14" s="4" t="str">
        <f t="shared" si="10"/>
        <v>AA0007</v>
      </c>
      <c r="E14" s="4" t="str">
        <f t="shared" si="11"/>
        <v>银河水星1号集合</v>
      </c>
      <c r="F14" s="4">
        <v>0</v>
      </c>
      <c r="G14" s="4">
        <v>0</v>
      </c>
      <c r="H14" s="4">
        <v>0</v>
      </c>
      <c r="I14" s="4">
        <v>0.05</v>
      </c>
      <c r="J14" s="4">
        <v>8370</v>
      </c>
      <c r="K14" s="4">
        <v>0</v>
      </c>
      <c r="L14" s="4" t="str">
        <f t="shared" si="0"/>
        <v>人民币</v>
      </c>
      <c r="N14" s="4" t="str">
        <f t="shared" si="12"/>
        <v>980149593788</v>
      </c>
      <c r="O14" s="4" t="str">
        <f t="shared" si="1"/>
        <v>300100052893</v>
      </c>
    </row>
    <row r="15" spans="1:15">
      <c r="A15" s="4" t="str">
        <f>"20211022"</f>
        <v>20211022</v>
      </c>
      <c r="B15" s="4" t="str">
        <f>"20211022"</f>
        <v>20211022</v>
      </c>
      <c r="C15" s="4" t="str">
        <f t="shared" si="13"/>
        <v>基金赎回拨入</v>
      </c>
      <c r="D15" s="4" t="str">
        <f t="shared" si="10"/>
        <v>AA0007</v>
      </c>
      <c r="E15" s="4" t="str">
        <f t="shared" si="11"/>
        <v>银河水星1号集合</v>
      </c>
      <c r="F15" s="4">
        <v>0</v>
      </c>
      <c r="G15" s="4">
        <v>0</v>
      </c>
      <c r="H15" s="4">
        <v>0</v>
      </c>
      <c r="I15" s="4">
        <v>0.05</v>
      </c>
      <c r="J15" s="4">
        <v>8370</v>
      </c>
      <c r="K15" s="4">
        <v>0</v>
      </c>
      <c r="L15" s="4" t="str">
        <f t="shared" si="0"/>
        <v>人民币</v>
      </c>
      <c r="N15" s="4" t="str">
        <f t="shared" si="12"/>
        <v>980149593788</v>
      </c>
      <c r="O15" s="4" t="str">
        <f t="shared" si="1"/>
        <v>300100052893</v>
      </c>
    </row>
    <row r="16" spans="1:15">
      <c r="A16" s="4" t="str">
        <f>"20211025"</f>
        <v>20211025</v>
      </c>
      <c r="B16" s="4" t="str">
        <f>"20211025"</f>
        <v>20211025</v>
      </c>
      <c r="C16" s="4" t="str">
        <f t="shared" si="13"/>
        <v>基金赎回拨入</v>
      </c>
      <c r="D16" s="4" t="str">
        <f t="shared" si="10"/>
        <v>AA0007</v>
      </c>
      <c r="E16" s="4" t="str">
        <f t="shared" si="11"/>
        <v>银河水星1号集合</v>
      </c>
      <c r="F16" s="4">
        <v>0</v>
      </c>
      <c r="G16" s="4">
        <v>0</v>
      </c>
      <c r="H16" s="4">
        <v>0</v>
      </c>
      <c r="I16" s="4">
        <v>0.05</v>
      </c>
      <c r="J16" s="4">
        <v>8370</v>
      </c>
      <c r="K16" s="4">
        <v>0</v>
      </c>
      <c r="L16" s="4" t="str">
        <f t="shared" si="0"/>
        <v>人民币</v>
      </c>
      <c r="N16" s="4" t="str">
        <f t="shared" si="12"/>
        <v>980149593788</v>
      </c>
      <c r="O16" s="4" t="str">
        <f t="shared" si="1"/>
        <v>300100052893</v>
      </c>
    </row>
    <row r="17" spans="1:15">
      <c r="A17" s="4" t="str">
        <f>"20211026"</f>
        <v>20211026</v>
      </c>
      <c r="B17" s="4" t="str">
        <f>"20211026"</f>
        <v>20211026</v>
      </c>
      <c r="C17" s="4" t="str">
        <f t="shared" ref="C17:C22" si="14">"基金申购拨出"</f>
        <v>基金申购拨出</v>
      </c>
      <c r="D17" s="4" t="str">
        <f t="shared" si="10"/>
        <v>AA0007</v>
      </c>
      <c r="E17" s="4" t="str">
        <f t="shared" si="11"/>
        <v>银河水星1号集合</v>
      </c>
      <c r="F17" s="4">
        <v>0</v>
      </c>
      <c r="G17" s="4">
        <v>0</v>
      </c>
      <c r="H17" s="4">
        <v>0</v>
      </c>
      <c r="I17" s="4">
        <v>-8494.85</v>
      </c>
      <c r="J17" s="4">
        <v>-125</v>
      </c>
      <c r="K17" s="4">
        <v>0</v>
      </c>
      <c r="L17" s="4" t="str">
        <f t="shared" si="0"/>
        <v>人民币</v>
      </c>
      <c r="N17" s="4" t="str">
        <f t="shared" si="12"/>
        <v>980149593788</v>
      </c>
      <c r="O17" s="4" t="str">
        <f t="shared" si="1"/>
        <v>300100052893</v>
      </c>
    </row>
    <row r="18" spans="1:15">
      <c r="A18" s="4" t="str">
        <f>"20211026"</f>
        <v>20211026</v>
      </c>
      <c r="B18" s="4" t="str">
        <f>"20211026"</f>
        <v>20211026</v>
      </c>
      <c r="C18" s="4" t="str">
        <f>"证券卖出"</f>
        <v>证券卖出</v>
      </c>
      <c r="D18" s="4" t="str">
        <f t="shared" ref="D18:D23" si="15">"159781"</f>
        <v>159781</v>
      </c>
      <c r="E18" s="4" t="str">
        <f t="shared" ref="E18:E23" si="16">"科创创业"</f>
        <v>科创创业</v>
      </c>
      <c r="F18" s="4">
        <v>0.869</v>
      </c>
      <c r="G18" s="4">
        <v>10000</v>
      </c>
      <c r="H18" s="4">
        <v>8690</v>
      </c>
      <c r="I18" s="4">
        <v>8685</v>
      </c>
      <c r="J18" s="4">
        <v>8560</v>
      </c>
      <c r="K18" s="4">
        <v>0</v>
      </c>
      <c r="L18" s="4" t="str">
        <f t="shared" si="0"/>
        <v>人民币</v>
      </c>
      <c r="M18" s="4" t="str">
        <f>"T4004076"</f>
        <v>T4004076</v>
      </c>
      <c r="N18" s="4" t="str">
        <f t="shared" ref="N18:N23" si="17">"0149593788"</f>
        <v>0149593788</v>
      </c>
      <c r="O18" s="4" t="str">
        <f t="shared" si="1"/>
        <v>300100052893</v>
      </c>
    </row>
    <row r="19" spans="1:15">
      <c r="A19" s="4" t="str">
        <f>"20211027"</f>
        <v>20211027</v>
      </c>
      <c r="B19" s="4" t="str">
        <f>"20211027"</f>
        <v>20211027</v>
      </c>
      <c r="C19" s="4" t="str">
        <f>"基金赎回拨入"</f>
        <v>基金赎回拨入</v>
      </c>
      <c r="D19" s="4" t="str">
        <f t="shared" ref="D19:D22" si="18">"AA0007"</f>
        <v>AA0007</v>
      </c>
      <c r="E19" s="4" t="str">
        <f t="shared" ref="E19:E22" si="19">"银河水星1号集合"</f>
        <v>银河水星1号集合</v>
      </c>
      <c r="F19" s="4">
        <v>0</v>
      </c>
      <c r="G19" s="4">
        <v>29617</v>
      </c>
      <c r="H19" s="4">
        <v>0</v>
      </c>
      <c r="I19" s="4">
        <v>29617.02</v>
      </c>
      <c r="J19" s="4">
        <v>38176.97</v>
      </c>
      <c r="K19" s="4">
        <v>0</v>
      </c>
      <c r="L19" s="4" t="str">
        <f t="shared" si="0"/>
        <v>人民币</v>
      </c>
      <c r="N19" s="4" t="str">
        <f t="shared" ref="N19:N22" si="20">"980149593788"</f>
        <v>980149593788</v>
      </c>
      <c r="O19" s="4" t="str">
        <f t="shared" si="1"/>
        <v>300100052893</v>
      </c>
    </row>
    <row r="20" spans="1:15">
      <c r="A20" s="4" t="str">
        <f>"20211027"</f>
        <v>20211027</v>
      </c>
      <c r="B20" s="4" t="str">
        <f>"20211027"</f>
        <v>20211027</v>
      </c>
      <c r="C20" s="4" t="str">
        <f>"证券买入"</f>
        <v>证券买入</v>
      </c>
      <c r="D20" s="4" t="str">
        <f t="shared" si="15"/>
        <v>159781</v>
      </c>
      <c r="E20" s="4" t="str">
        <f t="shared" si="16"/>
        <v>科创创业</v>
      </c>
      <c r="F20" s="4">
        <v>0.855</v>
      </c>
      <c r="G20" s="4">
        <v>10000</v>
      </c>
      <c r="H20" s="4">
        <v>8550</v>
      </c>
      <c r="I20" s="4">
        <v>-8555</v>
      </c>
      <c r="J20" s="4">
        <v>29621.97</v>
      </c>
      <c r="K20" s="4">
        <v>10000</v>
      </c>
      <c r="L20" s="4" t="str">
        <f t="shared" si="0"/>
        <v>人民币</v>
      </c>
      <c r="M20" s="4" t="str">
        <f>"T4000164"</f>
        <v>T4000164</v>
      </c>
      <c r="N20" s="4" t="str">
        <f t="shared" si="17"/>
        <v>0149593788</v>
      </c>
      <c r="O20" s="4" t="str">
        <f t="shared" si="1"/>
        <v>300100052893</v>
      </c>
    </row>
    <row r="21" spans="1:15">
      <c r="A21" s="4" t="str">
        <f>"20211028"</f>
        <v>20211028</v>
      </c>
      <c r="B21" s="4" t="str">
        <f>"20211028"</f>
        <v>20211028</v>
      </c>
      <c r="C21" s="4" t="str">
        <f t="shared" si="14"/>
        <v>基金申购拨出</v>
      </c>
      <c r="D21" s="4" t="str">
        <f t="shared" si="18"/>
        <v>AA0007</v>
      </c>
      <c r="E21" s="4" t="str">
        <f t="shared" si="19"/>
        <v>银河水星1号集合</v>
      </c>
      <c r="F21" s="4">
        <v>0</v>
      </c>
      <c r="G21" s="4">
        <v>0</v>
      </c>
      <c r="H21" s="4">
        <v>0</v>
      </c>
      <c r="I21" s="4">
        <v>-8913.64</v>
      </c>
      <c r="J21" s="4">
        <v>20708.28</v>
      </c>
      <c r="K21" s="4">
        <v>0</v>
      </c>
      <c r="L21" s="4" t="str">
        <f t="shared" si="0"/>
        <v>人民币</v>
      </c>
      <c r="N21" s="4" t="str">
        <f t="shared" si="20"/>
        <v>980149593788</v>
      </c>
      <c r="O21" s="4" t="str">
        <f t="shared" si="1"/>
        <v>300100052893</v>
      </c>
    </row>
    <row r="22" spans="1:15">
      <c r="A22" s="4" t="str">
        <f>"20211029"</f>
        <v>20211029</v>
      </c>
      <c r="B22" s="4" t="str">
        <f>"20211029"</f>
        <v>20211029</v>
      </c>
      <c r="C22" s="4" t="str">
        <f t="shared" si="14"/>
        <v>基金申购拨出</v>
      </c>
      <c r="D22" s="4" t="str">
        <f t="shared" si="18"/>
        <v>AA0007</v>
      </c>
      <c r="E22" s="4" t="str">
        <f t="shared" si="19"/>
        <v>银河水星1号集合</v>
      </c>
      <c r="F22" s="4">
        <v>0</v>
      </c>
      <c r="G22" s="4">
        <v>0</v>
      </c>
      <c r="H22" s="4">
        <v>0</v>
      </c>
      <c r="I22" s="4">
        <v>-8544.96</v>
      </c>
      <c r="J22" s="4">
        <v>12163.28</v>
      </c>
      <c r="K22" s="4">
        <v>0</v>
      </c>
      <c r="L22" s="4" t="str">
        <f t="shared" si="0"/>
        <v>人民币</v>
      </c>
      <c r="N22" s="4" t="str">
        <f t="shared" si="20"/>
        <v>980149593788</v>
      </c>
      <c r="O22" s="4" t="str">
        <f t="shared" si="1"/>
        <v>300100052893</v>
      </c>
    </row>
    <row r="23" spans="1:15">
      <c r="A23" s="4" t="str">
        <f>"20211029"</f>
        <v>20211029</v>
      </c>
      <c r="B23" s="4" t="str">
        <f>"20211029"</f>
        <v>20211029</v>
      </c>
      <c r="C23" s="4" t="str">
        <f>"证券卖出"</f>
        <v>证券卖出</v>
      </c>
      <c r="D23" s="4" t="str">
        <f t="shared" si="15"/>
        <v>159781</v>
      </c>
      <c r="E23" s="4" t="str">
        <f t="shared" si="16"/>
        <v>科创创业</v>
      </c>
      <c r="F23" s="4">
        <v>0.869</v>
      </c>
      <c r="G23" s="4">
        <v>10000</v>
      </c>
      <c r="H23" s="4">
        <v>8690</v>
      </c>
      <c r="I23" s="4">
        <v>8685</v>
      </c>
      <c r="J23" s="4">
        <v>20848.28</v>
      </c>
      <c r="K23" s="4">
        <v>0</v>
      </c>
      <c r="L23" s="4" t="str">
        <f t="shared" si="0"/>
        <v>人民币</v>
      </c>
      <c r="M23" s="4" t="str">
        <f>"T4006661"</f>
        <v>T4006661</v>
      </c>
      <c r="N23" s="4" t="str">
        <f t="shared" si="17"/>
        <v>0149593788</v>
      </c>
      <c r="O23" s="4" t="str">
        <f t="shared" si="1"/>
        <v>300100052893</v>
      </c>
    </row>
    <row r="24" spans="1:15">
      <c r="A24" s="4" t="str">
        <f>"20211101"</f>
        <v>20211101</v>
      </c>
      <c r="B24" s="4" t="str">
        <f>"20211101"</f>
        <v>20211101</v>
      </c>
      <c r="C24" s="4" t="str">
        <f>"基金赎回拨入"</f>
        <v>基金赎回拨入</v>
      </c>
      <c r="D24" s="4" t="str">
        <f t="shared" ref="D24:D26" si="21">"AA0007"</f>
        <v>AA0007</v>
      </c>
      <c r="E24" s="4" t="str">
        <f t="shared" ref="E24:E26" si="22">"银河水星1号集合"</f>
        <v>银河水星1号集合</v>
      </c>
      <c r="F24" s="4">
        <v>0</v>
      </c>
      <c r="G24" s="4">
        <v>0</v>
      </c>
      <c r="H24" s="4">
        <v>0</v>
      </c>
      <c r="I24" s="4">
        <v>0.04</v>
      </c>
      <c r="J24" s="4">
        <v>8560</v>
      </c>
      <c r="K24" s="4">
        <v>0</v>
      </c>
      <c r="L24" s="4" t="str">
        <f t="shared" si="0"/>
        <v>人民币</v>
      </c>
      <c r="N24" s="4" t="str">
        <f t="shared" ref="N24:N26" si="23">"980149593788"</f>
        <v>980149593788</v>
      </c>
      <c r="O24" s="4" t="str">
        <f t="shared" si="1"/>
        <v>300100052893</v>
      </c>
    </row>
    <row r="25" spans="1:15">
      <c r="A25" s="4" t="str">
        <f>"20211102"</f>
        <v>20211102</v>
      </c>
      <c r="B25" s="4" t="str">
        <f>"20211102"</f>
        <v>20211102</v>
      </c>
      <c r="C25" s="4" t="str">
        <f>"基金赎回拨入"</f>
        <v>基金赎回拨入</v>
      </c>
      <c r="D25" s="4" t="str">
        <f t="shared" si="21"/>
        <v>AA0007</v>
      </c>
      <c r="E25" s="4" t="str">
        <f t="shared" si="22"/>
        <v>银河水星1号集合</v>
      </c>
      <c r="F25" s="4">
        <v>0</v>
      </c>
      <c r="G25" s="4">
        <v>8655</v>
      </c>
      <c r="H25" s="4">
        <v>0</v>
      </c>
      <c r="I25" s="4">
        <v>8655.15</v>
      </c>
      <c r="J25" s="4">
        <v>17215</v>
      </c>
      <c r="K25" s="4">
        <v>0</v>
      </c>
      <c r="L25" s="4" t="str">
        <f t="shared" si="0"/>
        <v>人民币</v>
      </c>
      <c r="N25" s="4" t="str">
        <f t="shared" si="23"/>
        <v>980149593788</v>
      </c>
      <c r="O25" s="4" t="str">
        <f t="shared" si="1"/>
        <v>300100052893</v>
      </c>
    </row>
    <row r="26" spans="1:15">
      <c r="A26" s="4" t="str">
        <f>"20211103"</f>
        <v>20211103</v>
      </c>
      <c r="B26" s="4" t="str">
        <f>"20211103"</f>
        <v>20211103</v>
      </c>
      <c r="C26" s="4" t="str">
        <f>"基金申购拨出"</f>
        <v>基金申购拨出</v>
      </c>
      <c r="D26" s="4" t="str">
        <f t="shared" si="21"/>
        <v>AA0007</v>
      </c>
      <c r="E26" s="4" t="str">
        <f t="shared" si="22"/>
        <v>银河水星1号集合</v>
      </c>
      <c r="F26" s="4">
        <v>0</v>
      </c>
      <c r="G26" s="4">
        <v>0</v>
      </c>
      <c r="H26" s="4">
        <v>0</v>
      </c>
      <c r="I26" s="4">
        <v>-8594.95</v>
      </c>
      <c r="J26" s="4">
        <v>8620</v>
      </c>
      <c r="K26" s="4">
        <v>0</v>
      </c>
      <c r="L26" s="4" t="str">
        <f t="shared" si="0"/>
        <v>人民币</v>
      </c>
      <c r="N26" s="4" t="str">
        <f t="shared" si="23"/>
        <v>980149593788</v>
      </c>
      <c r="O26" s="4" t="str">
        <f t="shared" si="1"/>
        <v>300100052893</v>
      </c>
    </row>
    <row r="27" spans="1:15">
      <c r="A27" s="4" t="str">
        <f>"20211103"</f>
        <v>20211103</v>
      </c>
      <c r="B27" s="4" t="str">
        <f>"20211103"</f>
        <v>20211103</v>
      </c>
      <c r="C27" s="4" t="str">
        <f t="shared" ref="C27:C32" si="24">"证券买入"</f>
        <v>证券买入</v>
      </c>
      <c r="D27" s="4" t="str">
        <f>"159781"</f>
        <v>159781</v>
      </c>
      <c r="E27" s="4" t="str">
        <f>"科创创业"</f>
        <v>科创创业</v>
      </c>
      <c r="F27" s="4">
        <v>0.861</v>
      </c>
      <c r="G27" s="4">
        <v>10000</v>
      </c>
      <c r="H27" s="4">
        <v>8610</v>
      </c>
      <c r="I27" s="4">
        <v>-8615</v>
      </c>
      <c r="J27" s="4">
        <v>5</v>
      </c>
      <c r="K27" s="4">
        <v>10000</v>
      </c>
      <c r="L27" s="4" t="str">
        <f t="shared" si="0"/>
        <v>人民币</v>
      </c>
      <c r="M27" s="4" t="str">
        <f>"T4007069"</f>
        <v>T4007069</v>
      </c>
      <c r="N27" s="4" t="str">
        <f>"0149593788"</f>
        <v>0149593788</v>
      </c>
      <c r="O27" s="4" t="str">
        <f t="shared" si="1"/>
        <v>300100052893</v>
      </c>
    </row>
    <row r="28" spans="1:15">
      <c r="A28" s="4" t="str">
        <f>"20211104"</f>
        <v>20211104</v>
      </c>
      <c r="B28" s="4" t="str">
        <f>"20211104"</f>
        <v>20211104</v>
      </c>
      <c r="C28" s="4" t="str">
        <f>"证券卖出"</f>
        <v>证券卖出</v>
      </c>
      <c r="D28" s="4" t="str">
        <f>"159781"</f>
        <v>159781</v>
      </c>
      <c r="E28" s="4" t="str">
        <f>"科创创业"</f>
        <v>科创创业</v>
      </c>
      <c r="F28" s="4">
        <v>0.875</v>
      </c>
      <c r="G28" s="4">
        <v>10000</v>
      </c>
      <c r="H28" s="4">
        <v>8750</v>
      </c>
      <c r="I28" s="4">
        <v>8745</v>
      </c>
      <c r="J28" s="4">
        <v>8749.95</v>
      </c>
      <c r="K28" s="4">
        <v>0</v>
      </c>
      <c r="L28" s="4" t="str">
        <f t="shared" si="0"/>
        <v>人民币</v>
      </c>
      <c r="M28" s="4" t="str">
        <f>"T4006653"</f>
        <v>T4006653</v>
      </c>
      <c r="N28" s="4" t="str">
        <f>"0149593788"</f>
        <v>0149593788</v>
      </c>
      <c r="O28" s="4" t="str">
        <f t="shared" si="1"/>
        <v>300100052893</v>
      </c>
    </row>
    <row r="29" spans="1:15">
      <c r="A29" s="4" t="str">
        <f>"20211108"</f>
        <v>20211108</v>
      </c>
      <c r="B29" s="4" t="str">
        <f>"20211108"</f>
        <v>20211108</v>
      </c>
      <c r="C29" s="4" t="str">
        <f>"银行转证券"</f>
        <v>银行转证券</v>
      </c>
      <c r="F29" s="4">
        <v>0</v>
      </c>
      <c r="G29" s="4">
        <v>0</v>
      </c>
      <c r="H29" s="4">
        <v>0</v>
      </c>
      <c r="I29" s="4">
        <v>25000</v>
      </c>
      <c r="J29" s="4">
        <v>33749.85</v>
      </c>
      <c r="K29" s="4">
        <v>0</v>
      </c>
      <c r="L29" s="4" t="str">
        <f t="shared" si="0"/>
        <v>人民币</v>
      </c>
      <c r="O29" s="4" t="str">
        <f t="shared" si="1"/>
        <v>300100052893</v>
      </c>
    </row>
    <row r="30" spans="1:15">
      <c r="A30" s="4" t="str">
        <f>"20211108"</f>
        <v>20211108</v>
      </c>
      <c r="B30" s="4" t="str">
        <f>"20211108"</f>
        <v>20211108</v>
      </c>
      <c r="C30" s="4" t="str">
        <f t="shared" si="24"/>
        <v>证券买入</v>
      </c>
      <c r="D30" s="4" t="str">
        <f>"600028"</f>
        <v>600028</v>
      </c>
      <c r="E30" s="4" t="str">
        <f>"中国石化"</f>
        <v>中国石化</v>
      </c>
      <c r="F30" s="4">
        <v>4.1</v>
      </c>
      <c r="G30" s="4">
        <v>3000</v>
      </c>
      <c r="H30" s="4">
        <v>12300</v>
      </c>
      <c r="I30" s="4">
        <v>-12305.25</v>
      </c>
      <c r="J30" s="4">
        <v>21444.6</v>
      </c>
      <c r="K30" s="4">
        <v>3000</v>
      </c>
      <c r="L30" s="4" t="str">
        <f t="shared" si="0"/>
        <v>人民币</v>
      </c>
      <c r="M30" s="4" t="str">
        <f>"0136008758"</f>
        <v>0136008758</v>
      </c>
      <c r="N30" s="4" t="str">
        <f>"A368402599"</f>
        <v>A368402599</v>
      </c>
      <c r="O30" s="4" t="str">
        <f t="shared" si="1"/>
        <v>300100052893</v>
      </c>
    </row>
    <row r="31" spans="1:15">
      <c r="A31" s="4" t="str">
        <f>"20211109"</f>
        <v>20211109</v>
      </c>
      <c r="B31" s="4" t="str">
        <f>"20211109"</f>
        <v>20211109</v>
      </c>
      <c r="C31" s="4" t="str">
        <f>"基金赎回拨入"</f>
        <v>基金赎回拨入</v>
      </c>
      <c r="D31" s="4" t="str">
        <f t="shared" ref="D31:D35" si="25">"AA0007"</f>
        <v>AA0007</v>
      </c>
      <c r="E31" s="4" t="str">
        <f t="shared" ref="E31:E35" si="26">"银河水星1号集合"</f>
        <v>银河水星1号集合</v>
      </c>
      <c r="F31" s="4">
        <v>0</v>
      </c>
      <c r="G31" s="4">
        <v>11276</v>
      </c>
      <c r="H31" s="4">
        <v>0</v>
      </c>
      <c r="I31" s="4">
        <v>11276.03</v>
      </c>
      <c r="J31" s="4">
        <v>32720.48</v>
      </c>
      <c r="K31" s="4">
        <v>0</v>
      </c>
      <c r="L31" s="4" t="str">
        <f t="shared" si="0"/>
        <v>人民币</v>
      </c>
      <c r="N31" s="4" t="str">
        <f t="shared" ref="N31:N35" si="27">"980149593788"</f>
        <v>980149593788</v>
      </c>
      <c r="O31" s="4" t="str">
        <f t="shared" si="1"/>
        <v>300100052893</v>
      </c>
    </row>
    <row r="32" spans="1:15">
      <c r="A32" s="4" t="str">
        <f>"20211109"</f>
        <v>20211109</v>
      </c>
      <c r="B32" s="4" t="str">
        <f>"20211109"</f>
        <v>20211109</v>
      </c>
      <c r="C32" s="4" t="str">
        <f t="shared" si="24"/>
        <v>证券买入</v>
      </c>
      <c r="D32" s="4" t="str">
        <f>"600028"</f>
        <v>600028</v>
      </c>
      <c r="E32" s="4" t="str">
        <f>"中国石化"</f>
        <v>中国石化</v>
      </c>
      <c r="F32" s="4">
        <v>4.05</v>
      </c>
      <c r="G32" s="4">
        <v>3000</v>
      </c>
      <c r="H32" s="4">
        <v>12150</v>
      </c>
      <c r="I32" s="4">
        <v>-12155.24</v>
      </c>
      <c r="J32" s="4">
        <v>20565.24</v>
      </c>
      <c r="K32" s="4">
        <v>6000</v>
      </c>
      <c r="L32" s="4" t="str">
        <f t="shared" si="0"/>
        <v>人民币</v>
      </c>
      <c r="M32" s="4" t="str">
        <f>"0136000217"</f>
        <v>0136000217</v>
      </c>
      <c r="N32" s="4" t="str">
        <f>"A368402599"</f>
        <v>A368402599</v>
      </c>
      <c r="O32" s="4" t="str">
        <f t="shared" si="1"/>
        <v>300100052893</v>
      </c>
    </row>
    <row r="33" spans="1:15">
      <c r="A33" s="4" t="str">
        <f>"20211110"</f>
        <v>20211110</v>
      </c>
      <c r="B33" s="4" t="str">
        <f>"20211110"</f>
        <v>20211110</v>
      </c>
      <c r="C33" s="4" t="str">
        <f>"基金赎回拨入"</f>
        <v>基金赎回拨入</v>
      </c>
      <c r="D33" s="4" t="str">
        <f t="shared" si="25"/>
        <v>AA0007</v>
      </c>
      <c r="E33" s="4" t="str">
        <f t="shared" si="26"/>
        <v>银河水星1号集合</v>
      </c>
      <c r="F33" s="4">
        <v>0</v>
      </c>
      <c r="G33" s="4">
        <v>8645</v>
      </c>
      <c r="H33" s="4">
        <v>0</v>
      </c>
      <c r="I33" s="4">
        <v>8645.05</v>
      </c>
      <c r="J33" s="4">
        <v>29210.24</v>
      </c>
      <c r="K33" s="4">
        <v>0</v>
      </c>
      <c r="L33" s="4" t="str">
        <f t="shared" si="0"/>
        <v>人民币</v>
      </c>
      <c r="N33" s="4" t="str">
        <f t="shared" si="27"/>
        <v>980149593788</v>
      </c>
      <c r="O33" s="4" t="str">
        <f t="shared" si="1"/>
        <v>300100052893</v>
      </c>
    </row>
    <row r="34" spans="1:15">
      <c r="A34" s="4" t="str">
        <f>"20211110"</f>
        <v>20211110</v>
      </c>
      <c r="B34" s="4" t="str">
        <f>"20211110"</f>
        <v>20211110</v>
      </c>
      <c r="C34" s="4" t="str">
        <f>"证券买入"</f>
        <v>证券买入</v>
      </c>
      <c r="D34" s="4" t="str">
        <f>"159781"</f>
        <v>159781</v>
      </c>
      <c r="E34" s="4" t="str">
        <f>"科创创业"</f>
        <v>科创创业</v>
      </c>
      <c r="F34" s="4">
        <v>0.864</v>
      </c>
      <c r="G34" s="4">
        <v>10000</v>
      </c>
      <c r="H34" s="4">
        <v>8640</v>
      </c>
      <c r="I34" s="4">
        <v>-8645</v>
      </c>
      <c r="J34" s="4">
        <v>20565.24</v>
      </c>
      <c r="K34" s="4">
        <v>10000</v>
      </c>
      <c r="L34" s="4" t="str">
        <f t="shared" si="0"/>
        <v>人民币</v>
      </c>
      <c r="M34" s="4" t="str">
        <f>"T4007009"</f>
        <v>T4007009</v>
      </c>
      <c r="N34" s="4" t="str">
        <f t="shared" ref="N34:N39" si="28">"0149593788"</f>
        <v>0149593788</v>
      </c>
      <c r="O34" s="4" t="str">
        <f t="shared" si="1"/>
        <v>300100052893</v>
      </c>
    </row>
    <row r="35" spans="1:15">
      <c r="A35" s="4" t="str">
        <f t="shared" ref="A35:A37" si="29">"20211111"</f>
        <v>20211111</v>
      </c>
      <c r="B35" s="4" t="str">
        <f t="shared" ref="B35:B37" si="30">"20211111"</f>
        <v>20211111</v>
      </c>
      <c r="C35" s="4" t="str">
        <f>"基金申购拨出"</f>
        <v>基金申购拨出</v>
      </c>
      <c r="D35" s="4" t="str">
        <f t="shared" si="25"/>
        <v>AA0007</v>
      </c>
      <c r="E35" s="4" t="str">
        <f t="shared" si="26"/>
        <v>银河水星1号集合</v>
      </c>
      <c r="F35" s="4">
        <v>0</v>
      </c>
      <c r="G35" s="4">
        <v>0</v>
      </c>
      <c r="H35" s="4">
        <v>0</v>
      </c>
      <c r="I35" s="4">
        <v>-20817.4</v>
      </c>
      <c r="J35" s="4">
        <v>-252.21</v>
      </c>
      <c r="K35" s="4">
        <v>0</v>
      </c>
      <c r="L35" s="4" t="str">
        <f t="shared" si="0"/>
        <v>人民币</v>
      </c>
      <c r="N35" s="4" t="str">
        <f t="shared" si="27"/>
        <v>980149593788</v>
      </c>
      <c r="O35" s="4" t="str">
        <f t="shared" si="1"/>
        <v>300100052893</v>
      </c>
    </row>
    <row r="36" spans="1:15">
      <c r="A36" s="4" t="str">
        <f t="shared" si="29"/>
        <v>20211111</v>
      </c>
      <c r="B36" s="4" t="str">
        <f t="shared" si="30"/>
        <v>20211111</v>
      </c>
      <c r="C36" s="4" t="str">
        <f t="shared" ref="C36:C41" si="31">"证券卖出"</f>
        <v>证券卖出</v>
      </c>
      <c r="D36" s="4" t="str">
        <f>"159781"</f>
        <v>159781</v>
      </c>
      <c r="E36" s="4" t="str">
        <f>"科创创业"</f>
        <v>科创创业</v>
      </c>
      <c r="F36" s="4">
        <v>0.883</v>
      </c>
      <c r="G36" s="4">
        <v>10000</v>
      </c>
      <c r="H36" s="4">
        <v>8830</v>
      </c>
      <c r="I36" s="4">
        <v>8825</v>
      </c>
      <c r="J36" s="4">
        <v>8572.79</v>
      </c>
      <c r="K36" s="4">
        <v>0</v>
      </c>
      <c r="L36" s="4" t="str">
        <f t="shared" si="0"/>
        <v>人民币</v>
      </c>
      <c r="M36" s="4" t="str">
        <f>"T4000187"</f>
        <v>T4000187</v>
      </c>
      <c r="N36" s="4" t="str">
        <f t="shared" si="28"/>
        <v>0149593788</v>
      </c>
      <c r="O36" s="4" t="str">
        <f t="shared" si="1"/>
        <v>300100052893</v>
      </c>
    </row>
    <row r="37" spans="1:15">
      <c r="A37" s="4" t="str">
        <f t="shared" si="29"/>
        <v>20211111</v>
      </c>
      <c r="B37" s="4" t="str">
        <f t="shared" si="30"/>
        <v>20211111</v>
      </c>
      <c r="C37" s="4" t="str">
        <f t="shared" si="31"/>
        <v>证券卖出</v>
      </c>
      <c r="D37" s="4" t="str">
        <f t="shared" ref="D37:D42" si="32">"600028"</f>
        <v>600028</v>
      </c>
      <c r="E37" s="4" t="str">
        <f t="shared" ref="E37:E42" si="33">"中国石化"</f>
        <v>中国石化</v>
      </c>
      <c r="F37" s="4">
        <v>4.1</v>
      </c>
      <c r="G37" s="4">
        <v>3000</v>
      </c>
      <c r="H37" s="4">
        <v>12300</v>
      </c>
      <c r="I37" s="4">
        <v>12282.45</v>
      </c>
      <c r="J37" s="4">
        <v>20855.24</v>
      </c>
      <c r="K37" s="4">
        <v>3000</v>
      </c>
      <c r="L37" s="4" t="str">
        <f t="shared" si="0"/>
        <v>人民币</v>
      </c>
      <c r="M37" s="4" t="str">
        <f>"0136000246"</f>
        <v>0136000246</v>
      </c>
      <c r="N37" s="4" t="str">
        <f t="shared" ref="N37:N42" si="34">"A368402599"</f>
        <v>A368402599</v>
      </c>
      <c r="O37" s="4" t="str">
        <f t="shared" si="1"/>
        <v>300100052893</v>
      </c>
    </row>
    <row r="38" spans="1:15">
      <c r="A38" s="4" t="str">
        <f>"20211112"</f>
        <v>20211112</v>
      </c>
      <c r="B38" s="4" t="str">
        <f>"20211112"</f>
        <v>20211112</v>
      </c>
      <c r="C38" s="4" t="str">
        <f>"基金赎回拨入"</f>
        <v>基金赎回拨入</v>
      </c>
      <c r="D38" s="4" t="str">
        <f>"AA0007"</f>
        <v>AA0007</v>
      </c>
      <c r="E38" s="4" t="str">
        <f>"银河水星1号集合"</f>
        <v>银河水星1号集合</v>
      </c>
      <c r="F38" s="4">
        <v>0</v>
      </c>
      <c r="G38" s="4">
        <v>24205</v>
      </c>
      <c r="H38" s="4">
        <v>0</v>
      </c>
      <c r="I38" s="4">
        <v>24205.05</v>
      </c>
      <c r="J38" s="4">
        <v>45060.24</v>
      </c>
      <c r="K38" s="4">
        <v>0</v>
      </c>
      <c r="L38" s="4" t="str">
        <f t="shared" si="0"/>
        <v>人民币</v>
      </c>
      <c r="N38" s="4" t="str">
        <f>"980149593788"</f>
        <v>980149593788</v>
      </c>
      <c r="O38" s="4" t="str">
        <f t="shared" si="1"/>
        <v>300100052893</v>
      </c>
    </row>
    <row r="39" spans="1:15">
      <c r="A39" s="4" t="str">
        <f>"20211112"</f>
        <v>20211112</v>
      </c>
      <c r="B39" s="4" t="str">
        <f>"20211112"</f>
        <v>20211112</v>
      </c>
      <c r="C39" s="4" t="str">
        <f>"证券买入"</f>
        <v>证券买入</v>
      </c>
      <c r="D39" s="4" t="str">
        <f>"000601"</f>
        <v>000601</v>
      </c>
      <c r="E39" s="4" t="str">
        <f>"韶能股份"</f>
        <v>韶能股份</v>
      </c>
      <c r="F39" s="4">
        <v>4.84</v>
      </c>
      <c r="G39" s="4">
        <v>5000</v>
      </c>
      <c r="H39" s="4">
        <v>24200</v>
      </c>
      <c r="I39" s="4">
        <v>-24205</v>
      </c>
      <c r="J39" s="4">
        <v>20855.24</v>
      </c>
      <c r="K39" s="4">
        <v>6700</v>
      </c>
      <c r="L39" s="4" t="str">
        <f t="shared" si="0"/>
        <v>人民币</v>
      </c>
      <c r="M39" s="4" t="str">
        <f>"T4003588"</f>
        <v>T4003588</v>
      </c>
      <c r="N39" s="4" t="str">
        <f t="shared" si="28"/>
        <v>0149593788</v>
      </c>
      <c r="O39" s="4" t="str">
        <f t="shared" si="1"/>
        <v>300100052893</v>
      </c>
    </row>
    <row r="40" spans="1:15">
      <c r="A40" s="4" t="str">
        <f>"20211115"</f>
        <v>20211115</v>
      </c>
      <c r="B40" s="4" t="str">
        <f>"20211115"</f>
        <v>20211115</v>
      </c>
      <c r="C40" s="4" t="str">
        <f>"基金赎回拨入"</f>
        <v>基金赎回拨入</v>
      </c>
      <c r="D40" s="4" t="str">
        <f>"AA0007"</f>
        <v>AA0007</v>
      </c>
      <c r="E40" s="4" t="str">
        <f>"银河水星1号集合"</f>
        <v>银河水星1号集合</v>
      </c>
      <c r="F40" s="4">
        <v>0</v>
      </c>
      <c r="G40" s="4">
        <v>0</v>
      </c>
      <c r="H40" s="4">
        <v>0</v>
      </c>
      <c r="I40" s="4">
        <v>0.05</v>
      </c>
      <c r="J40" s="4">
        <v>20855.24</v>
      </c>
      <c r="K40" s="4">
        <v>0</v>
      </c>
      <c r="L40" s="4" t="str">
        <f t="shared" si="0"/>
        <v>人民币</v>
      </c>
      <c r="N40" s="4" t="str">
        <f>"980149593788"</f>
        <v>980149593788</v>
      </c>
      <c r="O40" s="4" t="str">
        <f t="shared" si="1"/>
        <v>300100052893</v>
      </c>
    </row>
    <row r="41" spans="1:15">
      <c r="A41" s="4" t="str">
        <f>"20211116"</f>
        <v>20211116</v>
      </c>
      <c r="B41" s="4" t="str">
        <f>"20211116"</f>
        <v>20211116</v>
      </c>
      <c r="C41" s="4" t="str">
        <f t="shared" si="31"/>
        <v>证券卖出</v>
      </c>
      <c r="D41" s="4" t="str">
        <f t="shared" si="32"/>
        <v>600028</v>
      </c>
      <c r="E41" s="4" t="str">
        <f t="shared" si="33"/>
        <v>中国石化</v>
      </c>
      <c r="F41" s="4">
        <v>4.15</v>
      </c>
      <c r="G41" s="4">
        <v>3000</v>
      </c>
      <c r="H41" s="4">
        <v>12450</v>
      </c>
      <c r="I41" s="4">
        <v>12432.29</v>
      </c>
      <c r="J41" s="4">
        <v>33287.38</v>
      </c>
      <c r="K41" s="4">
        <v>0</v>
      </c>
      <c r="L41" s="4" t="str">
        <f t="shared" si="0"/>
        <v>人民币</v>
      </c>
      <c r="M41" s="4" t="str">
        <f>"0136000235"</f>
        <v>0136000235</v>
      </c>
      <c r="N41" s="4" t="str">
        <f t="shared" si="34"/>
        <v>A368402599</v>
      </c>
      <c r="O41" s="4" t="str">
        <f t="shared" si="1"/>
        <v>300100052893</v>
      </c>
    </row>
    <row r="42" spans="1:15">
      <c r="A42" s="4" t="str">
        <f>"20211116"</f>
        <v>20211116</v>
      </c>
      <c r="B42" s="4" t="str">
        <f>"20211116"</f>
        <v>20211116</v>
      </c>
      <c r="C42" s="4" t="str">
        <f>"证券买入"</f>
        <v>证券买入</v>
      </c>
      <c r="D42" s="4" t="str">
        <f t="shared" si="32"/>
        <v>600028</v>
      </c>
      <c r="E42" s="4" t="str">
        <f t="shared" si="33"/>
        <v>中国石化</v>
      </c>
      <c r="F42" s="4">
        <v>4.1</v>
      </c>
      <c r="G42" s="4">
        <v>3000</v>
      </c>
      <c r="H42" s="4">
        <v>12300</v>
      </c>
      <c r="I42" s="4">
        <v>-12305.25</v>
      </c>
      <c r="J42" s="4">
        <v>20982.13</v>
      </c>
      <c r="K42" s="4">
        <v>3000</v>
      </c>
      <c r="L42" s="4" t="str">
        <f t="shared" si="0"/>
        <v>人民币</v>
      </c>
      <c r="M42" s="4" t="str">
        <f>"0136002638"</f>
        <v>0136002638</v>
      </c>
      <c r="N42" s="4" t="str">
        <f t="shared" si="34"/>
        <v>A368402599</v>
      </c>
      <c r="O42" s="4" t="str">
        <f t="shared" si="1"/>
        <v>300100052893</v>
      </c>
    </row>
    <row r="43" spans="1:15">
      <c r="A43" s="4" t="str">
        <f t="shared" ref="A43:A45" si="35">"20211119"</f>
        <v>20211119</v>
      </c>
      <c r="B43" s="4" t="str">
        <f t="shared" ref="B43:B45" si="36">"20211119"</f>
        <v>20211119</v>
      </c>
      <c r="C43" s="4" t="str">
        <f>"证券转银行"</f>
        <v>证券转银行</v>
      </c>
      <c r="F43" s="4">
        <v>0</v>
      </c>
      <c r="G43" s="4">
        <v>0</v>
      </c>
      <c r="H43" s="4">
        <v>0</v>
      </c>
      <c r="I43" s="4">
        <v>-5000</v>
      </c>
      <c r="J43" s="4">
        <v>15981.98</v>
      </c>
      <c r="K43" s="4">
        <v>0</v>
      </c>
      <c r="L43" s="4" t="str">
        <f t="shared" si="0"/>
        <v>人民币</v>
      </c>
      <c r="O43" s="4" t="str">
        <f t="shared" si="1"/>
        <v>300100052893</v>
      </c>
    </row>
    <row r="44" spans="1:15">
      <c r="A44" s="4" t="str">
        <f t="shared" si="35"/>
        <v>20211119</v>
      </c>
      <c r="B44" s="4" t="str">
        <f t="shared" si="36"/>
        <v>20211119</v>
      </c>
      <c r="C44" s="4" t="str">
        <f>"基金申购拨出"</f>
        <v>基金申购拨出</v>
      </c>
      <c r="D44" s="4" t="str">
        <f t="shared" ref="D44:D49" si="37">"AA0007"</f>
        <v>AA0007</v>
      </c>
      <c r="E44" s="4" t="str">
        <f t="shared" ref="E44:E49" si="38">"银河水星1号集合"</f>
        <v>银河水星1号集合</v>
      </c>
      <c r="F44" s="4">
        <v>0</v>
      </c>
      <c r="G44" s="4">
        <v>0</v>
      </c>
      <c r="H44" s="4">
        <v>0</v>
      </c>
      <c r="I44" s="4">
        <v>-7409.03</v>
      </c>
      <c r="J44" s="4">
        <v>8572.95</v>
      </c>
      <c r="K44" s="4">
        <v>0</v>
      </c>
      <c r="L44" s="4" t="str">
        <f t="shared" si="0"/>
        <v>人民币</v>
      </c>
      <c r="N44" s="4" t="str">
        <f t="shared" ref="N44:N49" si="39">"980149593788"</f>
        <v>980149593788</v>
      </c>
      <c r="O44" s="4" t="str">
        <f t="shared" si="1"/>
        <v>300100052893</v>
      </c>
    </row>
    <row r="45" spans="1:15">
      <c r="A45" s="4" t="str">
        <f t="shared" si="35"/>
        <v>20211119</v>
      </c>
      <c r="B45" s="4" t="str">
        <f t="shared" si="36"/>
        <v>20211119</v>
      </c>
      <c r="C45" s="4" t="str">
        <f>"证券卖出"</f>
        <v>证券卖出</v>
      </c>
      <c r="D45" s="4" t="str">
        <f>"600028"</f>
        <v>600028</v>
      </c>
      <c r="E45" s="4" t="str">
        <f>"中国石化"</f>
        <v>中国石化</v>
      </c>
      <c r="F45" s="4">
        <v>4.15</v>
      </c>
      <c r="G45" s="4">
        <v>3000</v>
      </c>
      <c r="H45" s="4">
        <v>12450</v>
      </c>
      <c r="I45" s="4">
        <v>12432.3</v>
      </c>
      <c r="J45" s="4">
        <v>21005.25</v>
      </c>
      <c r="K45" s="4">
        <v>0</v>
      </c>
      <c r="L45" s="4" t="str">
        <f t="shared" si="0"/>
        <v>人民币</v>
      </c>
      <c r="M45" s="4" t="str">
        <f>"0136000227"</f>
        <v>0136000227</v>
      </c>
      <c r="N45" s="4" t="str">
        <f>"A368402599"</f>
        <v>A368402599</v>
      </c>
      <c r="O45" s="4" t="str">
        <f t="shared" si="1"/>
        <v>300100052893</v>
      </c>
    </row>
    <row r="46" spans="1:15">
      <c r="A46" s="4" t="str">
        <f>"20211122"</f>
        <v>20211122</v>
      </c>
      <c r="B46" s="4" t="str">
        <f>"20211122"</f>
        <v>20211122</v>
      </c>
      <c r="C46" s="4" t="str">
        <f t="shared" ref="C46:C51" si="40">"基金赎回拨入"</f>
        <v>基金赎回拨入</v>
      </c>
      <c r="D46" s="4" t="str">
        <f t="shared" si="37"/>
        <v>AA0007</v>
      </c>
      <c r="E46" s="4" t="str">
        <f t="shared" si="38"/>
        <v>银河水星1号集合</v>
      </c>
      <c r="F46" s="4">
        <v>0</v>
      </c>
      <c r="G46" s="4">
        <v>0</v>
      </c>
      <c r="H46" s="4">
        <v>0</v>
      </c>
      <c r="I46" s="4">
        <v>0.05</v>
      </c>
      <c r="J46" s="4">
        <v>21005.25</v>
      </c>
      <c r="K46" s="4">
        <v>0</v>
      </c>
      <c r="L46" s="4" t="str">
        <f t="shared" si="0"/>
        <v>人民币</v>
      </c>
      <c r="N46" s="4" t="str">
        <f t="shared" si="39"/>
        <v>980149593788</v>
      </c>
      <c r="O46" s="4" t="str">
        <f t="shared" si="1"/>
        <v>300100052893</v>
      </c>
    </row>
    <row r="47" spans="1:15">
      <c r="A47" s="4" t="str">
        <f>"20211123"</f>
        <v>20211123</v>
      </c>
      <c r="B47" s="4" t="str">
        <f>"20211123"</f>
        <v>20211123</v>
      </c>
      <c r="C47" s="4" t="str">
        <f>"证券转银行"</f>
        <v>证券转银行</v>
      </c>
      <c r="F47" s="4">
        <v>0</v>
      </c>
      <c r="G47" s="4">
        <v>0</v>
      </c>
      <c r="H47" s="4">
        <v>0</v>
      </c>
      <c r="I47" s="4">
        <v>-200</v>
      </c>
      <c r="J47" s="4">
        <v>20805.1</v>
      </c>
      <c r="K47" s="4">
        <v>0</v>
      </c>
      <c r="L47" s="4" t="str">
        <f t="shared" si="0"/>
        <v>人民币</v>
      </c>
      <c r="O47" s="4" t="str">
        <f t="shared" si="1"/>
        <v>300100052893</v>
      </c>
    </row>
    <row r="48" spans="1:15">
      <c r="A48" s="4" t="str">
        <f>"20211123"</f>
        <v>20211123</v>
      </c>
      <c r="B48" s="4" t="str">
        <f>"20211123"</f>
        <v>20211123</v>
      </c>
      <c r="C48" s="4" t="str">
        <f t="shared" si="40"/>
        <v>基金赎回拨入</v>
      </c>
      <c r="D48" s="4" t="str">
        <f t="shared" si="37"/>
        <v>AA0007</v>
      </c>
      <c r="E48" s="4" t="str">
        <f t="shared" si="38"/>
        <v>银河水星1号集合</v>
      </c>
      <c r="F48" s="4">
        <v>0</v>
      </c>
      <c r="G48" s="4">
        <v>200</v>
      </c>
      <c r="H48" s="4">
        <v>0</v>
      </c>
      <c r="I48" s="4">
        <v>200.15</v>
      </c>
      <c r="J48" s="4">
        <v>21005.25</v>
      </c>
      <c r="K48" s="4">
        <v>0</v>
      </c>
      <c r="L48" s="4" t="str">
        <f t="shared" si="0"/>
        <v>人民币</v>
      </c>
      <c r="N48" s="4" t="str">
        <f t="shared" si="39"/>
        <v>980149593788</v>
      </c>
      <c r="O48" s="4" t="str">
        <f t="shared" si="1"/>
        <v>300100052893</v>
      </c>
    </row>
    <row r="49" spans="1:15">
      <c r="A49" s="4" t="str">
        <f>"20211124"</f>
        <v>20211124</v>
      </c>
      <c r="B49" s="4" t="str">
        <f>"20211124"</f>
        <v>20211124</v>
      </c>
      <c r="C49" s="4" t="str">
        <f>"基金申购拨出"</f>
        <v>基金申购拨出</v>
      </c>
      <c r="D49" s="4" t="str">
        <f t="shared" si="37"/>
        <v>AA0007</v>
      </c>
      <c r="E49" s="4" t="str">
        <f t="shared" si="38"/>
        <v>银河水星1号集合</v>
      </c>
      <c r="F49" s="4">
        <v>0</v>
      </c>
      <c r="G49" s="4">
        <v>0</v>
      </c>
      <c r="H49" s="4">
        <v>0</v>
      </c>
      <c r="I49" s="4">
        <v>-23721.2</v>
      </c>
      <c r="J49" s="4">
        <v>-2716</v>
      </c>
      <c r="K49" s="4">
        <v>0</v>
      </c>
      <c r="L49" s="4" t="str">
        <f t="shared" si="0"/>
        <v>人民币</v>
      </c>
      <c r="N49" s="4" t="str">
        <f t="shared" si="39"/>
        <v>980149593788</v>
      </c>
      <c r="O49" s="4" t="str">
        <f t="shared" si="1"/>
        <v>300100052893</v>
      </c>
    </row>
    <row r="50" spans="1:15">
      <c r="A50" s="4" t="str">
        <f>"20211124"</f>
        <v>20211124</v>
      </c>
      <c r="B50" s="4" t="str">
        <f>"20211124"</f>
        <v>20211124</v>
      </c>
      <c r="C50" s="4" t="str">
        <f>"证券卖出"</f>
        <v>证券卖出</v>
      </c>
      <c r="D50" s="4" t="str">
        <f>"000601"</f>
        <v>000601</v>
      </c>
      <c r="E50" s="4" t="str">
        <f>"韶能股份"</f>
        <v>韶能股份</v>
      </c>
      <c r="F50" s="4">
        <v>4.75</v>
      </c>
      <c r="G50" s="4">
        <v>5000</v>
      </c>
      <c r="H50" s="4">
        <v>23750</v>
      </c>
      <c r="I50" s="4">
        <v>23721.24</v>
      </c>
      <c r="J50" s="4">
        <v>21005.24</v>
      </c>
      <c r="K50" s="4">
        <v>1700</v>
      </c>
      <c r="L50" s="4" t="str">
        <f t="shared" si="0"/>
        <v>人民币</v>
      </c>
      <c r="M50" s="4" t="str">
        <f>"T400007117"</f>
        <v>T400007117</v>
      </c>
      <c r="N50" s="4" t="str">
        <f>"0149593788"</f>
        <v>0149593788</v>
      </c>
      <c r="O50" s="4" t="str">
        <f t="shared" si="1"/>
        <v>300100052893</v>
      </c>
    </row>
    <row r="51" spans="1:15">
      <c r="A51" s="4" t="str">
        <f>"20211125"</f>
        <v>20211125</v>
      </c>
      <c r="B51" s="4" t="str">
        <f>"20211125"</f>
        <v>20211125</v>
      </c>
      <c r="C51" s="4" t="str">
        <f t="shared" si="40"/>
        <v>基金赎回拨入</v>
      </c>
      <c r="D51" s="4" t="str">
        <f t="shared" ref="D51:D55" si="41">"AA0007"</f>
        <v>AA0007</v>
      </c>
      <c r="E51" s="4" t="str">
        <f t="shared" ref="E51:E55" si="42">"银河水星1号集合"</f>
        <v>银河水星1号集合</v>
      </c>
      <c r="F51" s="4">
        <v>0</v>
      </c>
      <c r="G51" s="4">
        <v>0</v>
      </c>
      <c r="H51" s="4">
        <v>0</v>
      </c>
      <c r="I51" s="4">
        <v>0.06</v>
      </c>
      <c r="J51" s="4">
        <v>21005.25</v>
      </c>
      <c r="K51" s="4">
        <v>0</v>
      </c>
      <c r="L51" s="4" t="str">
        <f t="shared" si="0"/>
        <v>人民币</v>
      </c>
      <c r="N51" s="4" t="str">
        <f t="shared" ref="N51:N55" si="43">"980149593788"</f>
        <v>980149593788</v>
      </c>
      <c r="O51" s="4" t="str">
        <f t="shared" si="1"/>
        <v>300100052893</v>
      </c>
    </row>
    <row r="52" spans="1:15">
      <c r="A52" s="4" t="str">
        <f t="shared" ref="A52:A54" si="44">"20211126"</f>
        <v>20211126</v>
      </c>
      <c r="B52" s="4" t="str">
        <f t="shared" ref="B52:B54" si="45">"20211126"</f>
        <v>20211126</v>
      </c>
      <c r="C52" s="4" t="str">
        <f>"证券转银行"</f>
        <v>证券转银行</v>
      </c>
      <c r="F52" s="4">
        <v>0</v>
      </c>
      <c r="G52" s="4">
        <v>0</v>
      </c>
      <c r="H52" s="4">
        <v>0</v>
      </c>
      <c r="I52" s="4">
        <v>-500</v>
      </c>
      <c r="J52" s="4">
        <v>20505.2</v>
      </c>
      <c r="K52" s="4">
        <v>0</v>
      </c>
      <c r="L52" s="4" t="str">
        <f t="shared" si="0"/>
        <v>人民币</v>
      </c>
      <c r="O52" s="4" t="str">
        <f t="shared" si="1"/>
        <v>300100052893</v>
      </c>
    </row>
    <row r="53" spans="1:15">
      <c r="A53" s="4" t="str">
        <f t="shared" si="44"/>
        <v>20211126</v>
      </c>
      <c r="B53" s="4" t="str">
        <f t="shared" si="45"/>
        <v>20211126</v>
      </c>
      <c r="C53" s="4" t="str">
        <f>"基金赎回拨入"</f>
        <v>基金赎回拨入</v>
      </c>
      <c r="D53" s="4" t="str">
        <f t="shared" si="41"/>
        <v>AA0007</v>
      </c>
      <c r="E53" s="4" t="str">
        <f t="shared" si="42"/>
        <v>银河水星1号集合</v>
      </c>
      <c r="F53" s="4">
        <v>0</v>
      </c>
      <c r="G53" s="4">
        <v>12625</v>
      </c>
      <c r="H53" s="4">
        <v>0</v>
      </c>
      <c r="I53" s="4">
        <v>12625.29</v>
      </c>
      <c r="J53" s="4">
        <v>33130.49</v>
      </c>
      <c r="K53" s="4">
        <v>0</v>
      </c>
      <c r="L53" s="4" t="str">
        <f t="shared" si="0"/>
        <v>人民币</v>
      </c>
      <c r="N53" s="4" t="str">
        <f t="shared" si="43"/>
        <v>980149593788</v>
      </c>
      <c r="O53" s="4" t="str">
        <f t="shared" si="1"/>
        <v>300100052893</v>
      </c>
    </row>
    <row r="54" spans="1:15">
      <c r="A54" s="4" t="str">
        <f t="shared" si="44"/>
        <v>20211126</v>
      </c>
      <c r="B54" s="4" t="str">
        <f t="shared" si="45"/>
        <v>20211126</v>
      </c>
      <c r="C54" s="4" t="str">
        <f t="shared" ref="C54:C58" si="46">"证券买入"</f>
        <v>证券买入</v>
      </c>
      <c r="D54" s="4" t="str">
        <f t="shared" ref="D54:D58" si="47">"600028"</f>
        <v>600028</v>
      </c>
      <c r="E54" s="4" t="str">
        <f t="shared" ref="E54:E58" si="48">"中国石化"</f>
        <v>中国石化</v>
      </c>
      <c r="F54" s="4">
        <v>4.09</v>
      </c>
      <c r="G54" s="4">
        <v>3000</v>
      </c>
      <c r="H54" s="4">
        <v>12270</v>
      </c>
      <c r="I54" s="4">
        <v>-12275.24</v>
      </c>
      <c r="J54" s="4">
        <v>20855.25</v>
      </c>
      <c r="K54" s="4">
        <v>3000</v>
      </c>
      <c r="L54" s="4" t="str">
        <f t="shared" si="0"/>
        <v>人民币</v>
      </c>
      <c r="M54" s="4" t="str">
        <f>"0136000285"</f>
        <v>0136000285</v>
      </c>
      <c r="N54" s="4" t="str">
        <f t="shared" ref="N54:N58" si="49">"A368402599"</f>
        <v>A368402599</v>
      </c>
      <c r="O54" s="4" t="str">
        <f t="shared" si="1"/>
        <v>300100052893</v>
      </c>
    </row>
    <row r="55" spans="1:15">
      <c r="A55" s="4" t="str">
        <f>"20211129"</f>
        <v>20211129</v>
      </c>
      <c r="B55" s="4" t="str">
        <f>"20211129"</f>
        <v>20211129</v>
      </c>
      <c r="C55" s="4" t="str">
        <f>"基金赎回拨入"</f>
        <v>基金赎回拨入</v>
      </c>
      <c r="D55" s="4" t="str">
        <f t="shared" si="41"/>
        <v>AA0007</v>
      </c>
      <c r="E55" s="4" t="str">
        <f t="shared" si="42"/>
        <v>银河水星1号集合</v>
      </c>
      <c r="F55" s="4">
        <v>0</v>
      </c>
      <c r="G55" s="4">
        <v>11825</v>
      </c>
      <c r="H55" s="4">
        <v>0</v>
      </c>
      <c r="I55" s="4">
        <v>11825.28</v>
      </c>
      <c r="J55" s="4">
        <v>32680.48</v>
      </c>
      <c r="K55" s="4">
        <v>0</v>
      </c>
      <c r="L55" s="4" t="str">
        <f t="shared" si="0"/>
        <v>人民币</v>
      </c>
      <c r="N55" s="4" t="str">
        <f t="shared" si="43"/>
        <v>980149593788</v>
      </c>
      <c r="O55" s="4" t="str">
        <f t="shared" si="1"/>
        <v>300100052893</v>
      </c>
    </row>
    <row r="56" spans="1:15">
      <c r="A56" s="4" t="str">
        <f>"20211129"</f>
        <v>20211129</v>
      </c>
      <c r="B56" s="4" t="str">
        <f>"20211129"</f>
        <v>20211129</v>
      </c>
      <c r="C56" s="4" t="str">
        <f t="shared" si="46"/>
        <v>证券买入</v>
      </c>
      <c r="D56" s="4" t="str">
        <f t="shared" si="47"/>
        <v>600028</v>
      </c>
      <c r="E56" s="4" t="str">
        <f t="shared" si="48"/>
        <v>中国石化</v>
      </c>
      <c r="F56" s="4">
        <v>4.02</v>
      </c>
      <c r="G56" s="4">
        <v>3000</v>
      </c>
      <c r="H56" s="4">
        <v>12060</v>
      </c>
      <c r="I56" s="4">
        <v>-12065.24</v>
      </c>
      <c r="J56" s="4">
        <v>20615.24</v>
      </c>
      <c r="K56" s="4">
        <v>6000</v>
      </c>
      <c r="L56" s="4" t="str">
        <f t="shared" si="0"/>
        <v>人民币</v>
      </c>
      <c r="M56" s="4" t="str">
        <f>"0136000193"</f>
        <v>0136000193</v>
      </c>
      <c r="N56" s="4" t="str">
        <f t="shared" si="49"/>
        <v>A368402599</v>
      </c>
      <c r="O56" s="4" t="str">
        <f t="shared" si="1"/>
        <v>300100052893</v>
      </c>
    </row>
    <row r="57" spans="1:15">
      <c r="A57" s="4" t="str">
        <f>"20211130"</f>
        <v>20211130</v>
      </c>
      <c r="B57" s="4" t="str">
        <f>"20211130"</f>
        <v>20211130</v>
      </c>
      <c r="C57" s="4" t="str">
        <f t="shared" ref="C57:C61" si="50">"证券卖出"</f>
        <v>证券卖出</v>
      </c>
      <c r="D57" s="4" t="str">
        <f t="shared" si="47"/>
        <v>600028</v>
      </c>
      <c r="E57" s="4" t="str">
        <f t="shared" si="48"/>
        <v>中国石化</v>
      </c>
      <c r="F57" s="4">
        <v>4.07</v>
      </c>
      <c r="G57" s="4">
        <v>3000</v>
      </c>
      <c r="H57" s="4">
        <v>12210</v>
      </c>
      <c r="I57" s="4">
        <v>12192.55</v>
      </c>
      <c r="J57" s="4">
        <v>32807.64</v>
      </c>
      <c r="K57" s="4">
        <v>3000</v>
      </c>
      <c r="L57" s="4" t="str">
        <f t="shared" si="0"/>
        <v>人民币</v>
      </c>
      <c r="M57" s="4" t="str">
        <f>"0136000212"</f>
        <v>0136000212</v>
      </c>
      <c r="N57" s="4" t="str">
        <f t="shared" si="49"/>
        <v>A368402599</v>
      </c>
      <c r="O57" s="4" t="str">
        <f t="shared" si="1"/>
        <v>300100052893</v>
      </c>
    </row>
    <row r="58" spans="1:15">
      <c r="A58" s="4" t="str">
        <f>"20211130"</f>
        <v>20211130</v>
      </c>
      <c r="B58" s="4" t="str">
        <f>"20211130"</f>
        <v>20211130</v>
      </c>
      <c r="C58" s="4" t="str">
        <f t="shared" si="46"/>
        <v>证券买入</v>
      </c>
      <c r="D58" s="4" t="str">
        <f t="shared" si="47"/>
        <v>600028</v>
      </c>
      <c r="E58" s="4" t="str">
        <f t="shared" si="48"/>
        <v>中国石化</v>
      </c>
      <c r="F58" s="4">
        <v>4.04</v>
      </c>
      <c r="G58" s="4">
        <v>3000</v>
      </c>
      <c r="H58" s="4">
        <v>12120</v>
      </c>
      <c r="I58" s="4">
        <v>-12125.24</v>
      </c>
      <c r="J58" s="4">
        <v>20682.4</v>
      </c>
      <c r="K58" s="4">
        <v>6000</v>
      </c>
      <c r="L58" s="4" t="str">
        <f t="shared" si="0"/>
        <v>人民币</v>
      </c>
      <c r="M58" s="4" t="str">
        <f>"0136001533"</f>
        <v>0136001533</v>
      </c>
      <c r="N58" s="4" t="str">
        <f t="shared" si="49"/>
        <v>A368402599</v>
      </c>
      <c r="O58" s="4" t="str">
        <f t="shared" si="1"/>
        <v>300100052893</v>
      </c>
    </row>
    <row r="59" spans="1:15">
      <c r="A59" s="4" t="str">
        <f t="shared" ref="A59:A61" si="51">"20211201"</f>
        <v>20211201</v>
      </c>
      <c r="B59" s="4" t="str">
        <f t="shared" ref="B59:B61" si="52">"20211201"</f>
        <v>20211201</v>
      </c>
      <c r="C59" s="4" t="str">
        <f>"基金申购拨出"</f>
        <v>基金申购拨出</v>
      </c>
      <c r="D59" s="4" t="str">
        <f t="shared" ref="D59:D64" si="53">"AA0007"</f>
        <v>AA0007</v>
      </c>
      <c r="E59" s="4" t="str">
        <f t="shared" ref="E59:E64" si="54">"银河水星1号集合"</f>
        <v>银河水星1号集合</v>
      </c>
      <c r="F59" s="4">
        <v>0</v>
      </c>
      <c r="G59" s="4">
        <v>0</v>
      </c>
      <c r="H59" s="4">
        <v>0</v>
      </c>
      <c r="I59" s="4">
        <v>-24361.92</v>
      </c>
      <c r="J59" s="4">
        <v>-3679.56</v>
      </c>
      <c r="K59" s="4">
        <v>0</v>
      </c>
      <c r="L59" s="4" t="str">
        <f t="shared" si="0"/>
        <v>人民币</v>
      </c>
      <c r="N59" s="4" t="str">
        <f t="shared" ref="N59:N64" si="55">"980149593788"</f>
        <v>980149593788</v>
      </c>
      <c r="O59" s="4" t="str">
        <f t="shared" si="1"/>
        <v>300100052893</v>
      </c>
    </row>
    <row r="60" spans="1:15">
      <c r="A60" s="4" t="str">
        <f t="shared" si="51"/>
        <v>20211201</v>
      </c>
      <c r="B60" s="4" t="str">
        <f t="shared" si="52"/>
        <v>20211201</v>
      </c>
      <c r="C60" s="4" t="str">
        <f t="shared" si="50"/>
        <v>证券卖出</v>
      </c>
      <c r="D60" s="4" t="str">
        <f>"600028"</f>
        <v>600028</v>
      </c>
      <c r="E60" s="4" t="str">
        <f>"中国石化"</f>
        <v>中国石化</v>
      </c>
      <c r="F60" s="4">
        <v>4.09</v>
      </c>
      <c r="G60" s="4">
        <v>3000</v>
      </c>
      <c r="H60" s="4">
        <v>12270</v>
      </c>
      <c r="I60" s="4">
        <v>12252.48</v>
      </c>
      <c r="J60" s="4">
        <v>8572.92</v>
      </c>
      <c r="K60" s="4">
        <v>3000</v>
      </c>
      <c r="L60" s="4" t="str">
        <f t="shared" si="0"/>
        <v>人民币</v>
      </c>
      <c r="M60" s="4" t="str">
        <f>"0136000234"</f>
        <v>0136000234</v>
      </c>
      <c r="N60" s="4" t="str">
        <f>"A368402599"</f>
        <v>A368402599</v>
      </c>
      <c r="O60" s="4" t="str">
        <f t="shared" si="1"/>
        <v>300100052893</v>
      </c>
    </row>
    <row r="61" spans="1:15">
      <c r="A61" s="4" t="str">
        <f t="shared" si="51"/>
        <v>20211201</v>
      </c>
      <c r="B61" s="4" t="str">
        <f t="shared" si="52"/>
        <v>20211201</v>
      </c>
      <c r="C61" s="4" t="str">
        <f t="shared" si="50"/>
        <v>证券卖出</v>
      </c>
      <c r="D61" s="4" t="str">
        <f>"600028"</f>
        <v>600028</v>
      </c>
      <c r="E61" s="4" t="str">
        <f>"中国石化"</f>
        <v>中国石化</v>
      </c>
      <c r="F61" s="4">
        <v>4.14</v>
      </c>
      <c r="G61" s="4">
        <v>3000</v>
      </c>
      <c r="H61" s="4">
        <v>12420</v>
      </c>
      <c r="I61" s="4">
        <v>12402.33</v>
      </c>
      <c r="J61" s="4">
        <v>20975.25</v>
      </c>
      <c r="K61" s="4">
        <v>0</v>
      </c>
      <c r="L61" s="4" t="str">
        <f t="shared" si="0"/>
        <v>人民币</v>
      </c>
      <c r="M61" s="4" t="str">
        <f>"0136004090"</f>
        <v>0136004090</v>
      </c>
      <c r="N61" s="4" t="str">
        <f>"A368402599"</f>
        <v>A368402599</v>
      </c>
      <c r="O61" s="4" t="str">
        <f t="shared" si="1"/>
        <v>300100052893</v>
      </c>
    </row>
    <row r="62" spans="1:15">
      <c r="A62" s="4" t="str">
        <f>"20211202"</f>
        <v>20211202</v>
      </c>
      <c r="B62" s="4" t="str">
        <f>"20211202"</f>
        <v>20211202</v>
      </c>
      <c r="C62" s="4" t="str">
        <f t="shared" ref="C62:C64" si="56">"基金赎回拨入"</f>
        <v>基金赎回拨入</v>
      </c>
      <c r="D62" s="4" t="str">
        <f t="shared" si="53"/>
        <v>AA0007</v>
      </c>
      <c r="E62" s="4" t="str">
        <f t="shared" si="54"/>
        <v>银河水星1号集合</v>
      </c>
      <c r="F62" s="4">
        <v>0</v>
      </c>
      <c r="G62" s="4">
        <v>0</v>
      </c>
      <c r="H62" s="4">
        <v>0</v>
      </c>
      <c r="I62" s="4">
        <v>0.04</v>
      </c>
      <c r="J62" s="4">
        <v>20975.25</v>
      </c>
      <c r="K62" s="4">
        <v>0</v>
      </c>
      <c r="L62" s="4" t="str">
        <f t="shared" si="0"/>
        <v>人民币</v>
      </c>
      <c r="N62" s="4" t="str">
        <f t="shared" si="55"/>
        <v>980149593788</v>
      </c>
      <c r="O62" s="4" t="str">
        <f t="shared" si="1"/>
        <v>300100052893</v>
      </c>
    </row>
    <row r="63" spans="1:15">
      <c r="A63" s="4" t="str">
        <f>"20211203"</f>
        <v>20211203</v>
      </c>
      <c r="B63" s="4" t="str">
        <f>"20211203"</f>
        <v>20211203</v>
      </c>
      <c r="C63" s="4" t="str">
        <f t="shared" si="56"/>
        <v>基金赎回拨入</v>
      </c>
      <c r="D63" s="4" t="str">
        <f t="shared" si="53"/>
        <v>AA0007</v>
      </c>
      <c r="E63" s="4" t="str">
        <f t="shared" si="54"/>
        <v>银河水星1号集合</v>
      </c>
      <c r="F63" s="4">
        <v>0</v>
      </c>
      <c r="G63" s="4">
        <v>0</v>
      </c>
      <c r="H63" s="4">
        <v>0</v>
      </c>
      <c r="I63" s="4">
        <v>0.04</v>
      </c>
      <c r="J63" s="4">
        <v>20975.25</v>
      </c>
      <c r="K63" s="4">
        <v>0</v>
      </c>
      <c r="L63" s="4" t="str">
        <f t="shared" si="0"/>
        <v>人民币</v>
      </c>
      <c r="N63" s="4" t="str">
        <f t="shared" si="55"/>
        <v>980149593788</v>
      </c>
      <c r="O63" s="4" t="str">
        <f t="shared" si="1"/>
        <v>300100052893</v>
      </c>
    </row>
    <row r="64" spans="1:15">
      <c r="A64" s="4" t="str">
        <f>"20211206"</f>
        <v>20211206</v>
      </c>
      <c r="B64" s="4" t="str">
        <f>"20211206"</f>
        <v>20211206</v>
      </c>
      <c r="C64" s="4" t="str">
        <f t="shared" si="56"/>
        <v>基金赎回拨入</v>
      </c>
      <c r="D64" s="4" t="str">
        <f t="shared" si="53"/>
        <v>AA0007</v>
      </c>
      <c r="E64" s="4" t="str">
        <f t="shared" si="54"/>
        <v>银河水星1号集合</v>
      </c>
      <c r="F64" s="4">
        <v>0</v>
      </c>
      <c r="G64" s="4">
        <v>8555</v>
      </c>
      <c r="H64" s="4">
        <v>0</v>
      </c>
      <c r="I64" s="4">
        <v>8555.04</v>
      </c>
      <c r="J64" s="4">
        <v>29530.25</v>
      </c>
      <c r="K64" s="4">
        <v>0</v>
      </c>
      <c r="L64" s="4" t="str">
        <f t="shared" si="0"/>
        <v>人民币</v>
      </c>
      <c r="N64" s="4" t="str">
        <f t="shared" si="55"/>
        <v>980149593788</v>
      </c>
      <c r="O64" s="4" t="str">
        <f t="shared" si="1"/>
        <v>300100052893</v>
      </c>
    </row>
    <row r="65" spans="1:15">
      <c r="A65" s="4" t="str">
        <f>"20211206"</f>
        <v>20211206</v>
      </c>
      <c r="B65" s="4" t="str">
        <f>"20211206"</f>
        <v>20211206</v>
      </c>
      <c r="C65" s="4" t="str">
        <f>"证券买入"</f>
        <v>证券买入</v>
      </c>
      <c r="D65" s="4" t="str">
        <f>"159781"</f>
        <v>159781</v>
      </c>
      <c r="E65" s="4" t="str">
        <f>"科创创业"</f>
        <v>科创创业</v>
      </c>
      <c r="F65" s="4">
        <v>0.869</v>
      </c>
      <c r="G65" s="4">
        <v>10000</v>
      </c>
      <c r="H65" s="4">
        <v>8690</v>
      </c>
      <c r="I65" s="4">
        <v>-8695</v>
      </c>
      <c r="J65" s="4">
        <v>20835.25</v>
      </c>
      <c r="K65" s="4">
        <v>10000</v>
      </c>
      <c r="L65" s="4" t="str">
        <f t="shared" si="0"/>
        <v>人民币</v>
      </c>
      <c r="M65" s="4" t="str">
        <f>"T400000237"</f>
        <v>T400000237</v>
      </c>
      <c r="N65" s="4" t="str">
        <f>"0149593788"</f>
        <v>0149593788</v>
      </c>
      <c r="O65" s="4" t="str">
        <f t="shared" si="1"/>
        <v>300100052893</v>
      </c>
    </row>
    <row r="66" spans="1:15">
      <c r="A66" s="4" t="str">
        <f>"20211207"</f>
        <v>20211207</v>
      </c>
      <c r="B66" s="4" t="str">
        <f>"20211207"</f>
        <v>20211207</v>
      </c>
      <c r="C66" s="4" t="str">
        <f>"基金赎回拨入"</f>
        <v>基金赎回拨入</v>
      </c>
      <c r="D66" s="4" t="str">
        <f>"AA0007"</f>
        <v>AA0007</v>
      </c>
      <c r="E66" s="4" t="str">
        <f>"银河水星1号集合"</f>
        <v>银河水星1号集合</v>
      </c>
      <c r="F66" s="4">
        <v>0</v>
      </c>
      <c r="G66" s="4">
        <v>8415</v>
      </c>
      <c r="H66" s="4">
        <v>0</v>
      </c>
      <c r="I66" s="4">
        <v>8415.15</v>
      </c>
      <c r="J66" s="4">
        <v>29250.25</v>
      </c>
      <c r="K66" s="4">
        <v>0</v>
      </c>
      <c r="L66" s="4" t="str">
        <f t="shared" ref="L66:L96" si="57">"人民币"</f>
        <v>人民币</v>
      </c>
      <c r="N66" s="4" t="str">
        <f>"980149593788"</f>
        <v>980149593788</v>
      </c>
      <c r="O66" s="4" t="str">
        <f t="shared" ref="O66:O96" si="58">"300100052893"</f>
        <v>300100052893</v>
      </c>
    </row>
    <row r="67" spans="1:15">
      <c r="A67" s="4" t="str">
        <f>"20211207"</f>
        <v>20211207</v>
      </c>
      <c r="B67" s="4" t="str">
        <f>"20211207"</f>
        <v>20211207</v>
      </c>
      <c r="C67" s="4" t="str">
        <f>"证券买入"</f>
        <v>证券买入</v>
      </c>
      <c r="D67" s="4" t="str">
        <f>"159781"</f>
        <v>159781</v>
      </c>
      <c r="E67" s="4" t="str">
        <f>"科创创业"</f>
        <v>科创创业</v>
      </c>
      <c r="F67" s="4">
        <v>0.855</v>
      </c>
      <c r="G67" s="4">
        <v>10000</v>
      </c>
      <c r="H67" s="4">
        <v>8550</v>
      </c>
      <c r="I67" s="4">
        <v>-8555</v>
      </c>
      <c r="J67" s="4">
        <v>20695.25</v>
      </c>
      <c r="K67" s="4">
        <v>20000</v>
      </c>
      <c r="L67" s="4" t="str">
        <f t="shared" si="57"/>
        <v>人民币</v>
      </c>
      <c r="M67" s="4" t="str">
        <f>"T400000227"</f>
        <v>T400000227</v>
      </c>
      <c r="N67" s="4" t="str">
        <f>"0149593788"</f>
        <v>0149593788</v>
      </c>
      <c r="O67" s="4" t="str">
        <f t="shared" si="58"/>
        <v>300100052893</v>
      </c>
    </row>
    <row r="68" spans="1:15">
      <c r="A68" s="4" t="str">
        <f t="shared" ref="A68:A71" si="59">"20211208"</f>
        <v>20211208</v>
      </c>
      <c r="B68" s="4" t="str">
        <f t="shared" ref="B68:B71" si="60">"20211208"</f>
        <v>20211208</v>
      </c>
      <c r="C68" s="4" t="str">
        <f>"证券转银行"</f>
        <v>证券转银行</v>
      </c>
      <c r="F68" s="4">
        <v>0</v>
      </c>
      <c r="G68" s="4">
        <v>0</v>
      </c>
      <c r="H68" s="4">
        <v>0</v>
      </c>
      <c r="I68" s="4">
        <v>-500</v>
      </c>
      <c r="J68" s="4">
        <v>20195.2</v>
      </c>
      <c r="K68" s="4">
        <v>0</v>
      </c>
      <c r="L68" s="4" t="str">
        <f t="shared" si="57"/>
        <v>人民币</v>
      </c>
      <c r="O68" s="4" t="str">
        <f t="shared" si="58"/>
        <v>300100052893</v>
      </c>
    </row>
    <row r="69" spans="1:15">
      <c r="A69" s="4" t="str">
        <f t="shared" si="59"/>
        <v>20211208</v>
      </c>
      <c r="B69" s="4" t="str">
        <f t="shared" si="60"/>
        <v>20211208</v>
      </c>
      <c r="C69" s="4" t="str">
        <f>"证券转银行"</f>
        <v>证券转银行</v>
      </c>
      <c r="F69" s="4">
        <v>0</v>
      </c>
      <c r="G69" s="4">
        <v>0</v>
      </c>
      <c r="H69" s="4">
        <v>0</v>
      </c>
      <c r="I69" s="4">
        <v>-500</v>
      </c>
      <c r="J69" s="4">
        <v>19695.2</v>
      </c>
      <c r="K69" s="4">
        <v>0</v>
      </c>
      <c r="L69" s="4" t="str">
        <f t="shared" si="57"/>
        <v>人民币</v>
      </c>
      <c r="O69" s="4" t="str">
        <f t="shared" si="58"/>
        <v>300100052893</v>
      </c>
    </row>
    <row r="70" spans="1:15">
      <c r="A70" s="4" t="str">
        <f t="shared" si="59"/>
        <v>20211208</v>
      </c>
      <c r="B70" s="4" t="str">
        <f t="shared" si="60"/>
        <v>20211208</v>
      </c>
      <c r="C70" s="4" t="str">
        <f>"基金申购拨出"</f>
        <v>基金申购拨出</v>
      </c>
      <c r="D70" s="4" t="str">
        <f t="shared" ref="D70:D74" si="61">"AA0007"</f>
        <v>AA0007</v>
      </c>
      <c r="E70" s="4" t="str">
        <f>"银河水星1号集合"</f>
        <v>银河水星1号集合</v>
      </c>
      <c r="F70" s="4">
        <v>0</v>
      </c>
      <c r="G70" s="4">
        <v>0</v>
      </c>
      <c r="H70" s="4">
        <v>0</v>
      </c>
      <c r="I70" s="4">
        <v>-7544.95</v>
      </c>
      <c r="J70" s="4">
        <v>12150.25</v>
      </c>
      <c r="K70" s="4">
        <v>0</v>
      </c>
      <c r="L70" s="4" t="str">
        <f t="shared" si="57"/>
        <v>人民币</v>
      </c>
      <c r="N70" s="4" t="str">
        <f t="shared" ref="N70:N74" si="62">"980149593788"</f>
        <v>980149593788</v>
      </c>
      <c r="O70" s="4" t="str">
        <f t="shared" si="58"/>
        <v>300100052893</v>
      </c>
    </row>
    <row r="71" spans="1:15">
      <c r="A71" s="4" t="str">
        <f t="shared" si="59"/>
        <v>20211208</v>
      </c>
      <c r="B71" s="4" t="str">
        <f t="shared" si="60"/>
        <v>20211208</v>
      </c>
      <c r="C71" s="4" t="str">
        <f>"证券卖出"</f>
        <v>证券卖出</v>
      </c>
      <c r="D71" s="4" t="str">
        <f>"159781"</f>
        <v>159781</v>
      </c>
      <c r="E71" s="4" t="str">
        <f>"科创创业"</f>
        <v>科创创业</v>
      </c>
      <c r="F71" s="4">
        <v>0.869</v>
      </c>
      <c r="G71" s="4">
        <v>10000</v>
      </c>
      <c r="H71" s="4">
        <v>8690</v>
      </c>
      <c r="I71" s="4">
        <v>8685</v>
      </c>
      <c r="J71" s="4">
        <v>20835.25</v>
      </c>
      <c r="K71" s="4">
        <v>10000</v>
      </c>
      <c r="L71" s="4" t="str">
        <f t="shared" si="57"/>
        <v>人民币</v>
      </c>
      <c r="M71" s="4" t="str">
        <f>"T400000228"</f>
        <v>T400000228</v>
      </c>
      <c r="N71" s="4" t="str">
        <f t="shared" ref="N71:N76" si="63">"0149593788"</f>
        <v>0149593788</v>
      </c>
      <c r="O71" s="4" t="str">
        <f t="shared" si="58"/>
        <v>300100052893</v>
      </c>
    </row>
    <row r="72" spans="1:15">
      <c r="A72" s="4" t="str">
        <f>"20211209"</f>
        <v>20211209</v>
      </c>
      <c r="B72" s="4" t="str">
        <f>"20211209"</f>
        <v>20211209</v>
      </c>
      <c r="C72" s="4" t="str">
        <f>"基金申购拨出"</f>
        <v>基金申购拨出</v>
      </c>
      <c r="D72" s="4" t="str">
        <f t="shared" si="61"/>
        <v>AA0007</v>
      </c>
      <c r="E72" s="4" t="str">
        <f>"银河水星1号集合"</f>
        <v>银河水星1号集合</v>
      </c>
      <c r="F72" s="4">
        <v>0</v>
      </c>
      <c r="G72" s="4">
        <v>0</v>
      </c>
      <c r="H72" s="4">
        <v>0</v>
      </c>
      <c r="I72" s="4">
        <v>-5198.95</v>
      </c>
      <c r="J72" s="4">
        <v>15636.25</v>
      </c>
      <c r="K72" s="4">
        <v>0</v>
      </c>
      <c r="L72" s="4" t="str">
        <f t="shared" si="57"/>
        <v>人民币</v>
      </c>
      <c r="N72" s="4" t="str">
        <f t="shared" si="62"/>
        <v>980149593788</v>
      </c>
      <c r="O72" s="4" t="str">
        <f t="shared" si="58"/>
        <v>300100052893</v>
      </c>
    </row>
    <row r="73" spans="1:15">
      <c r="A73" s="4" t="str">
        <f>"20211209"</f>
        <v>20211209</v>
      </c>
      <c r="B73" s="4" t="str">
        <f>"20211209"</f>
        <v>20211209</v>
      </c>
      <c r="C73" s="4" t="str">
        <f>"证券卖出"</f>
        <v>证券卖出</v>
      </c>
      <c r="D73" s="4" t="str">
        <f>"159781"</f>
        <v>159781</v>
      </c>
      <c r="E73" s="4" t="str">
        <f>"科创创业"</f>
        <v>科创创业</v>
      </c>
      <c r="F73" s="4">
        <v>0.882</v>
      </c>
      <c r="G73" s="4">
        <v>10000</v>
      </c>
      <c r="H73" s="4">
        <v>8820</v>
      </c>
      <c r="I73" s="4">
        <v>8815</v>
      </c>
      <c r="J73" s="4">
        <v>24451.25</v>
      </c>
      <c r="K73" s="4">
        <v>0</v>
      </c>
      <c r="L73" s="4" t="str">
        <f t="shared" si="57"/>
        <v>人民币</v>
      </c>
      <c r="M73" s="4" t="str">
        <f>"T400010084"</f>
        <v>T400010084</v>
      </c>
      <c r="N73" s="4" t="str">
        <f t="shared" si="63"/>
        <v>0149593788</v>
      </c>
      <c r="O73" s="4" t="str">
        <f t="shared" si="58"/>
        <v>300100052893</v>
      </c>
    </row>
    <row r="74" spans="1:15">
      <c r="A74" s="4" t="str">
        <f>"20211210"</f>
        <v>20211210</v>
      </c>
      <c r="B74" s="4" t="str">
        <f>"20211210"</f>
        <v>20211210</v>
      </c>
      <c r="C74" s="4" t="str">
        <f>"基金赎回拨入"</f>
        <v>基金赎回拨入</v>
      </c>
      <c r="D74" s="4" t="str">
        <f t="shared" si="61"/>
        <v>AA0007</v>
      </c>
      <c r="E74" s="4" t="str">
        <f>"银河水星1号"</f>
        <v>银河水星1号</v>
      </c>
      <c r="F74" s="4">
        <v>0</v>
      </c>
      <c r="G74" s="4">
        <v>0</v>
      </c>
      <c r="H74" s="4">
        <v>0</v>
      </c>
      <c r="I74" s="4">
        <v>0.05</v>
      </c>
      <c r="J74" s="4">
        <v>24451.25</v>
      </c>
      <c r="K74" s="4">
        <v>0</v>
      </c>
      <c r="L74" s="4" t="str">
        <f t="shared" si="57"/>
        <v>人民币</v>
      </c>
      <c r="N74" s="4" t="str">
        <f t="shared" si="62"/>
        <v>980149593788</v>
      </c>
      <c r="O74" s="4" t="str">
        <f t="shared" si="58"/>
        <v>300100052893</v>
      </c>
    </row>
    <row r="75" spans="1:15">
      <c r="A75" s="4" t="str">
        <f t="shared" ref="A75:A80" si="64">"20211213"</f>
        <v>20211213</v>
      </c>
      <c r="B75" s="4" t="str">
        <f t="shared" ref="B75:B80" si="65">"20211213"</f>
        <v>20211213</v>
      </c>
      <c r="C75" s="4" t="str">
        <f>"证券转银行"</f>
        <v>证券转银行</v>
      </c>
      <c r="F75" s="4">
        <v>0</v>
      </c>
      <c r="G75" s="4">
        <v>0</v>
      </c>
      <c r="H75" s="4">
        <v>0</v>
      </c>
      <c r="I75" s="4">
        <v>-20000</v>
      </c>
      <c r="J75" s="4">
        <v>4451.2</v>
      </c>
      <c r="K75" s="4">
        <v>0</v>
      </c>
      <c r="L75" s="4" t="str">
        <f t="shared" si="57"/>
        <v>人民币</v>
      </c>
      <c r="O75" s="4" t="str">
        <f t="shared" si="58"/>
        <v>300100052893</v>
      </c>
    </row>
    <row r="76" spans="1:15">
      <c r="A76" s="4" t="str">
        <f t="shared" si="64"/>
        <v>20211213</v>
      </c>
      <c r="B76" s="4" t="str">
        <f t="shared" si="65"/>
        <v>20211213</v>
      </c>
      <c r="C76" s="4" t="str">
        <f>"资管计划实时取现"</f>
        <v>资管计划实时取现</v>
      </c>
      <c r="D76" s="4" t="str">
        <f>"119931"</f>
        <v>119931</v>
      </c>
      <c r="E76" s="4" t="str">
        <f>"水星1号"</f>
        <v>水星1号</v>
      </c>
      <c r="F76" s="4">
        <v>0</v>
      </c>
      <c r="G76" s="4">
        <v>0</v>
      </c>
      <c r="H76" s="4">
        <v>30000</v>
      </c>
      <c r="I76" s="4">
        <v>30000</v>
      </c>
      <c r="J76" s="4">
        <v>34451.2</v>
      </c>
      <c r="K76" s="4">
        <v>0</v>
      </c>
      <c r="L76" s="4" t="str">
        <f t="shared" si="57"/>
        <v>人民币</v>
      </c>
      <c r="M76" s="4" t="str">
        <f>"T400011530"</f>
        <v>T400011530</v>
      </c>
      <c r="N76" s="4" t="str">
        <f t="shared" si="63"/>
        <v>0149593788</v>
      </c>
      <c r="O76" s="4" t="str">
        <f t="shared" si="58"/>
        <v>300100052893</v>
      </c>
    </row>
    <row r="77" spans="1:15">
      <c r="A77" s="4" t="str">
        <f t="shared" si="64"/>
        <v>20211213</v>
      </c>
      <c r="B77" s="4" t="str">
        <f t="shared" si="65"/>
        <v>20211213</v>
      </c>
      <c r="C77" s="4" t="str">
        <f>"证券转银行"</f>
        <v>证券转银行</v>
      </c>
      <c r="F77" s="4">
        <v>0</v>
      </c>
      <c r="G77" s="4">
        <v>0</v>
      </c>
      <c r="H77" s="4">
        <v>0</v>
      </c>
      <c r="I77" s="4">
        <v>-30000</v>
      </c>
      <c r="J77" s="4">
        <v>4451.2</v>
      </c>
      <c r="K77" s="4">
        <v>0</v>
      </c>
      <c r="L77" s="4" t="str">
        <f t="shared" si="57"/>
        <v>人民币</v>
      </c>
      <c r="O77" s="4" t="str">
        <f t="shared" si="58"/>
        <v>300100052893</v>
      </c>
    </row>
    <row r="78" spans="1:15">
      <c r="A78" s="4" t="str">
        <f t="shared" si="64"/>
        <v>20211213</v>
      </c>
      <c r="B78" s="4" t="str">
        <f t="shared" si="65"/>
        <v>20211213</v>
      </c>
      <c r="C78" s="4" t="str">
        <f>"资管T0取现拨入"</f>
        <v>资管T0取现拨入</v>
      </c>
      <c r="D78" s="4" t="str">
        <f t="shared" ref="D78:D84" si="66">"AA0007"</f>
        <v>AA0007</v>
      </c>
      <c r="E78" s="4" t="str">
        <f>"银河水星1号"</f>
        <v>银河水星1号</v>
      </c>
      <c r="F78" s="4">
        <v>0</v>
      </c>
      <c r="G78" s="4">
        <v>30000</v>
      </c>
      <c r="H78" s="4">
        <v>30000</v>
      </c>
      <c r="I78" s="4">
        <v>30000</v>
      </c>
      <c r="J78" s="4">
        <v>34451.2</v>
      </c>
      <c r="K78" s="4">
        <v>0</v>
      </c>
      <c r="L78" s="4" t="str">
        <f t="shared" si="57"/>
        <v>人民币</v>
      </c>
      <c r="N78" s="4" t="str">
        <f t="shared" ref="N78:N84" si="67">"980149593788"</f>
        <v>980149593788</v>
      </c>
      <c r="O78" s="4" t="str">
        <f t="shared" si="58"/>
        <v>300100052893</v>
      </c>
    </row>
    <row r="79" spans="1:15">
      <c r="A79" s="4" t="str">
        <f t="shared" si="64"/>
        <v>20211213</v>
      </c>
      <c r="B79" s="4" t="str">
        <f t="shared" si="65"/>
        <v>20211213</v>
      </c>
      <c r="C79" s="4" t="str">
        <f>"基金申购拨出"</f>
        <v>基金申购拨出</v>
      </c>
      <c r="D79" s="4" t="str">
        <f t="shared" si="66"/>
        <v>AA0007</v>
      </c>
      <c r="E79" s="4" t="str">
        <f t="shared" ref="E79:E83" si="68">"银河水星1号集合"</f>
        <v>银河水星1号集合</v>
      </c>
      <c r="F79" s="4">
        <v>0</v>
      </c>
      <c r="G79" s="4">
        <v>0</v>
      </c>
      <c r="H79" s="4">
        <v>0</v>
      </c>
      <c r="I79" s="4">
        <v>-4446.2</v>
      </c>
      <c r="J79" s="4">
        <v>30005</v>
      </c>
      <c r="K79" s="4">
        <v>0</v>
      </c>
      <c r="L79" s="4" t="str">
        <f t="shared" si="57"/>
        <v>人民币</v>
      </c>
      <c r="N79" s="4" t="str">
        <f t="shared" si="67"/>
        <v>980149593788</v>
      </c>
      <c r="O79" s="4" t="str">
        <f t="shared" si="58"/>
        <v>300100052893</v>
      </c>
    </row>
    <row r="80" spans="1:15">
      <c r="A80" s="4" t="str">
        <f t="shared" si="64"/>
        <v>20211213</v>
      </c>
      <c r="B80" s="4" t="str">
        <f t="shared" si="65"/>
        <v>20211213</v>
      </c>
      <c r="C80" s="4" t="str">
        <f>"资管计划实时取现"</f>
        <v>资管计划实时取现</v>
      </c>
      <c r="D80" s="4" t="str">
        <f>"119931"</f>
        <v>119931</v>
      </c>
      <c r="E80" s="4" t="str">
        <f>"水星1号"</f>
        <v>水星1号</v>
      </c>
      <c r="F80" s="4">
        <v>0</v>
      </c>
      <c r="G80" s="4">
        <v>0</v>
      </c>
      <c r="H80" s="4">
        <v>0</v>
      </c>
      <c r="I80" s="4">
        <v>-30000</v>
      </c>
      <c r="J80" s="4">
        <v>5</v>
      </c>
      <c r="K80" s="4">
        <v>0</v>
      </c>
      <c r="L80" s="4" t="str">
        <f t="shared" si="57"/>
        <v>人民币</v>
      </c>
      <c r="M80" s="4" t="str">
        <f>"T400011530"</f>
        <v>T400011530</v>
      </c>
      <c r="N80" s="4" t="str">
        <f>"0149593788"</f>
        <v>0149593788</v>
      </c>
      <c r="O80" s="4" t="str">
        <f t="shared" si="58"/>
        <v>300100052893</v>
      </c>
    </row>
    <row r="81" spans="1:15">
      <c r="A81" s="4" t="str">
        <f>"20211214"</f>
        <v>20211214</v>
      </c>
      <c r="B81" s="4" t="str">
        <f>"20211214"</f>
        <v>20211214</v>
      </c>
      <c r="C81" s="4" t="str">
        <f t="shared" ref="C81:C84" si="69">"基金赎回拨入"</f>
        <v>基金赎回拨入</v>
      </c>
      <c r="D81" s="4" t="str">
        <f t="shared" si="66"/>
        <v>AA0007</v>
      </c>
      <c r="E81" s="4" t="str">
        <f t="shared" si="68"/>
        <v>银河水星1号集合</v>
      </c>
      <c r="F81" s="4">
        <v>0</v>
      </c>
      <c r="G81" s="4">
        <v>0</v>
      </c>
      <c r="H81" s="4">
        <v>0</v>
      </c>
      <c r="I81" s="4">
        <v>0.15</v>
      </c>
      <c r="J81" s="4">
        <v>5</v>
      </c>
      <c r="K81" s="4">
        <v>0</v>
      </c>
      <c r="L81" s="4" t="str">
        <f t="shared" si="57"/>
        <v>人民币</v>
      </c>
      <c r="N81" s="4" t="str">
        <f t="shared" si="67"/>
        <v>980149593788</v>
      </c>
      <c r="O81" s="4" t="str">
        <f t="shared" si="58"/>
        <v>300100052893</v>
      </c>
    </row>
    <row r="82" spans="1:15">
      <c r="A82" s="4" t="str">
        <f>"20211215"</f>
        <v>20211215</v>
      </c>
      <c r="B82" s="4" t="str">
        <f>"20211215"</f>
        <v>20211215</v>
      </c>
      <c r="C82" s="4" t="str">
        <f t="shared" si="69"/>
        <v>基金赎回拨入</v>
      </c>
      <c r="D82" s="4" t="str">
        <f t="shared" si="66"/>
        <v>AA0007</v>
      </c>
      <c r="E82" s="4" t="str">
        <f t="shared" si="68"/>
        <v>银河水星1号集合</v>
      </c>
      <c r="F82" s="4">
        <v>0</v>
      </c>
      <c r="G82" s="4">
        <v>0</v>
      </c>
      <c r="H82" s="4">
        <v>0</v>
      </c>
      <c r="I82" s="4">
        <v>0.05</v>
      </c>
      <c r="J82" s="4">
        <v>5</v>
      </c>
      <c r="K82" s="4">
        <v>0</v>
      </c>
      <c r="L82" s="4" t="str">
        <f t="shared" si="57"/>
        <v>人民币</v>
      </c>
      <c r="N82" s="4" t="str">
        <f t="shared" si="67"/>
        <v>980149593788</v>
      </c>
      <c r="O82" s="4" t="str">
        <f t="shared" si="58"/>
        <v>300100052893</v>
      </c>
    </row>
    <row r="83" spans="1:15">
      <c r="A83" s="4" t="str">
        <f>"20211216"</f>
        <v>20211216</v>
      </c>
      <c r="B83" s="4" t="str">
        <f>"20211216"</f>
        <v>20211216</v>
      </c>
      <c r="C83" s="4" t="str">
        <f t="shared" si="69"/>
        <v>基金赎回拨入</v>
      </c>
      <c r="D83" s="4" t="str">
        <f t="shared" si="66"/>
        <v>AA0007</v>
      </c>
      <c r="E83" s="4" t="str">
        <f t="shared" si="68"/>
        <v>银河水星1号集合</v>
      </c>
      <c r="F83" s="4">
        <v>0</v>
      </c>
      <c r="G83" s="4">
        <v>0</v>
      </c>
      <c r="H83" s="4">
        <v>0</v>
      </c>
      <c r="I83" s="4">
        <v>0.05</v>
      </c>
      <c r="J83" s="4">
        <v>5</v>
      </c>
      <c r="K83" s="4">
        <v>0</v>
      </c>
      <c r="L83" s="4" t="str">
        <f t="shared" si="57"/>
        <v>人民币</v>
      </c>
      <c r="N83" s="4" t="str">
        <f t="shared" si="67"/>
        <v>980149593788</v>
      </c>
      <c r="O83" s="4" t="str">
        <f t="shared" si="58"/>
        <v>300100052893</v>
      </c>
    </row>
    <row r="84" spans="1:15">
      <c r="A84" s="4" t="str">
        <f>"20211217"</f>
        <v>20211217</v>
      </c>
      <c r="B84" s="4" t="str">
        <f>"20211217"</f>
        <v>20211217</v>
      </c>
      <c r="C84" s="4" t="str">
        <f t="shared" si="69"/>
        <v>基金赎回拨入</v>
      </c>
      <c r="D84" s="4" t="str">
        <f t="shared" si="66"/>
        <v>AA0007</v>
      </c>
      <c r="E84" s="4" t="str">
        <f>"银河水星1号"</f>
        <v>银河水星1号</v>
      </c>
      <c r="F84" s="4">
        <v>0</v>
      </c>
      <c r="G84" s="4">
        <v>0</v>
      </c>
      <c r="H84" s="4">
        <v>0</v>
      </c>
      <c r="I84" s="4">
        <v>0.05</v>
      </c>
      <c r="J84" s="4">
        <v>5</v>
      </c>
      <c r="K84" s="4">
        <v>0</v>
      </c>
      <c r="L84" s="4" t="str">
        <f t="shared" si="57"/>
        <v>人民币</v>
      </c>
      <c r="N84" s="4" t="str">
        <f t="shared" si="67"/>
        <v>980149593788</v>
      </c>
      <c r="O84" s="4" t="str">
        <f t="shared" si="58"/>
        <v>300100052893</v>
      </c>
    </row>
    <row r="85" spans="1:15">
      <c r="A85" s="4" t="str">
        <f t="shared" ref="A85:A87" si="70">"20211220"</f>
        <v>20211220</v>
      </c>
      <c r="B85" s="4" t="str">
        <f t="shared" ref="B85:B87" si="71">"20211220"</f>
        <v>20211220</v>
      </c>
      <c r="C85" s="4" t="str">
        <f>"利息归本"</f>
        <v>利息归本</v>
      </c>
      <c r="F85" s="4">
        <v>0</v>
      </c>
      <c r="G85" s="4">
        <v>0</v>
      </c>
      <c r="H85" s="4">
        <v>0</v>
      </c>
      <c r="I85" s="4">
        <v>11.76</v>
      </c>
      <c r="J85" s="4">
        <v>16.71</v>
      </c>
      <c r="K85" s="4">
        <v>0</v>
      </c>
      <c r="L85" s="4" t="str">
        <f t="shared" si="57"/>
        <v>人民币</v>
      </c>
      <c r="O85" s="4" t="str">
        <f t="shared" si="58"/>
        <v>300100052893</v>
      </c>
    </row>
    <row r="86" spans="1:15">
      <c r="A86" s="4" t="str">
        <f t="shared" si="70"/>
        <v>20211220</v>
      </c>
      <c r="B86" s="4" t="str">
        <f t="shared" si="71"/>
        <v>20211220</v>
      </c>
      <c r="C86" s="4" t="str">
        <f>"基金赎回拨入"</f>
        <v>基金赎回拨入</v>
      </c>
      <c r="D86" s="4" t="str">
        <f t="shared" ref="D86:D89" si="72">"AA0007"</f>
        <v>AA0007</v>
      </c>
      <c r="E86" s="4" t="str">
        <f t="shared" ref="E86:E89" si="73">"银河水星1号集合"</f>
        <v>银河水星1号集合</v>
      </c>
      <c r="F86" s="4">
        <v>0</v>
      </c>
      <c r="G86" s="4">
        <v>23614</v>
      </c>
      <c r="H86" s="4">
        <v>0</v>
      </c>
      <c r="I86" s="4">
        <v>23614.05</v>
      </c>
      <c r="J86" s="4">
        <v>23630.76</v>
      </c>
      <c r="K86" s="4">
        <v>0</v>
      </c>
      <c r="L86" s="4" t="str">
        <f t="shared" si="57"/>
        <v>人民币</v>
      </c>
      <c r="N86" s="4" t="str">
        <f t="shared" ref="N86:N89" si="74">"980149593788"</f>
        <v>980149593788</v>
      </c>
      <c r="O86" s="4" t="str">
        <f t="shared" si="58"/>
        <v>300100052893</v>
      </c>
    </row>
    <row r="87" spans="1:15">
      <c r="A87" s="4" t="str">
        <f t="shared" si="70"/>
        <v>20211220</v>
      </c>
      <c r="B87" s="4" t="str">
        <f t="shared" si="71"/>
        <v>20211220</v>
      </c>
      <c r="C87" s="4" t="str">
        <f>"证券买入"</f>
        <v>证券买入</v>
      </c>
      <c r="D87" s="4" t="str">
        <f>"159781"</f>
        <v>159781</v>
      </c>
      <c r="E87" s="4" t="str">
        <f>"科创创业"</f>
        <v>科创创业</v>
      </c>
      <c r="F87" s="4">
        <v>0.85</v>
      </c>
      <c r="G87" s="4">
        <v>14000</v>
      </c>
      <c r="H87" s="4">
        <v>11900</v>
      </c>
      <c r="I87" s="4">
        <v>-11905</v>
      </c>
      <c r="J87" s="4">
        <v>11725.76</v>
      </c>
      <c r="K87" s="4">
        <v>14000</v>
      </c>
      <c r="L87" s="4" t="str">
        <f t="shared" si="57"/>
        <v>人民币</v>
      </c>
      <c r="M87" s="4" t="str">
        <f>"T400007648"</f>
        <v>T400007648</v>
      </c>
      <c r="N87" s="4" t="str">
        <f>"0149593788"</f>
        <v>0149593788</v>
      </c>
      <c r="O87" s="4" t="str">
        <f t="shared" si="58"/>
        <v>300100052893</v>
      </c>
    </row>
    <row r="88" spans="1:15">
      <c r="A88" s="4" t="str">
        <f t="shared" ref="A88:A90" si="75">"20211222"</f>
        <v>20211222</v>
      </c>
      <c r="B88" s="4" t="str">
        <f t="shared" ref="B88:B91" si="76">"20211222"</f>
        <v>20211222</v>
      </c>
      <c r="C88" s="4" t="str">
        <f>"基金赎回拨入"</f>
        <v>基金赎回拨入</v>
      </c>
      <c r="D88" s="4" t="str">
        <f t="shared" si="72"/>
        <v>AA0007</v>
      </c>
      <c r="E88" s="4" t="str">
        <f t="shared" si="73"/>
        <v>银河水星1号集合</v>
      </c>
      <c r="F88" s="4">
        <v>0</v>
      </c>
      <c r="G88" s="4">
        <v>2892</v>
      </c>
      <c r="H88" s="4">
        <v>0</v>
      </c>
      <c r="I88" s="4">
        <v>2892.43</v>
      </c>
      <c r="J88" s="4">
        <v>14618</v>
      </c>
      <c r="K88" s="4">
        <v>0</v>
      </c>
      <c r="L88" s="4" t="str">
        <f t="shared" si="57"/>
        <v>人民币</v>
      </c>
      <c r="N88" s="4" t="str">
        <f t="shared" si="74"/>
        <v>980149593788</v>
      </c>
      <c r="O88" s="4" t="str">
        <f t="shared" si="58"/>
        <v>300100052893</v>
      </c>
    </row>
    <row r="89" spans="1:15">
      <c r="A89" s="4" t="str">
        <f t="shared" si="75"/>
        <v>20211222</v>
      </c>
      <c r="B89" s="4" t="str">
        <f>"0"</f>
        <v>0</v>
      </c>
      <c r="C89" s="4" t="str">
        <f>"基金红利拨入"</f>
        <v>基金红利拨入</v>
      </c>
      <c r="D89" s="4" t="str">
        <f t="shared" si="72"/>
        <v>AA0007</v>
      </c>
      <c r="E89" s="4" t="str">
        <f t="shared" si="73"/>
        <v>银河水星1号集合</v>
      </c>
      <c r="F89" s="4">
        <v>0</v>
      </c>
      <c r="G89" s="4">
        <v>0</v>
      </c>
      <c r="H89" s="4">
        <v>165</v>
      </c>
      <c r="I89" s="4">
        <v>165</v>
      </c>
      <c r="J89" s="4">
        <v>14783</v>
      </c>
      <c r="K89" s="4">
        <v>0</v>
      </c>
      <c r="L89" s="4" t="str">
        <f t="shared" si="57"/>
        <v>人民币</v>
      </c>
      <c r="N89" s="4" t="str">
        <f t="shared" si="74"/>
        <v>980149593788</v>
      </c>
      <c r="O89" s="4" t="str">
        <f t="shared" si="58"/>
        <v>300100052893</v>
      </c>
    </row>
    <row r="90" spans="1:15">
      <c r="A90" s="4" t="str">
        <f t="shared" si="75"/>
        <v>20211222</v>
      </c>
      <c r="B90" s="4" t="str">
        <f t="shared" si="76"/>
        <v>20211222</v>
      </c>
      <c r="C90" s="4" t="str">
        <f>"新股申购"</f>
        <v>新股申购</v>
      </c>
      <c r="D90" s="4" t="str">
        <f>"889688"</f>
        <v>889688</v>
      </c>
      <c r="E90" s="4" t="str">
        <f>"威博液压"</f>
        <v>威博液压</v>
      </c>
      <c r="F90" s="4">
        <v>9.68</v>
      </c>
      <c r="G90" s="4">
        <v>300</v>
      </c>
      <c r="H90" s="4">
        <v>2904</v>
      </c>
      <c r="I90" s="4">
        <v>-2904</v>
      </c>
      <c r="J90" s="4">
        <v>11879</v>
      </c>
      <c r="K90" s="4">
        <v>300</v>
      </c>
      <c r="L90" s="4" t="str">
        <f t="shared" si="57"/>
        <v>人民币</v>
      </c>
      <c r="M90" s="4" t="str">
        <f>"T4800142"</f>
        <v>T4800142</v>
      </c>
      <c r="N90" s="4" t="str">
        <f>"0275340227"</f>
        <v>0275340227</v>
      </c>
      <c r="O90" s="4" t="str">
        <f t="shared" si="58"/>
        <v>300100052893</v>
      </c>
    </row>
    <row r="91" spans="1:15">
      <c r="A91" s="4" t="str">
        <f>"20211224"</f>
        <v>20211224</v>
      </c>
      <c r="B91" s="4" t="str">
        <f t="shared" si="76"/>
        <v>20211222</v>
      </c>
      <c r="C91" s="4" t="str">
        <f>"申购还款"</f>
        <v>申购还款</v>
      </c>
      <c r="D91" s="4" t="str">
        <f>"889688"</f>
        <v>889688</v>
      </c>
      <c r="E91" s="4" t="str">
        <f>"威博液压"</f>
        <v>威博液压</v>
      </c>
      <c r="F91" s="4">
        <v>9.68</v>
      </c>
      <c r="G91" s="4">
        <v>300</v>
      </c>
      <c r="H91" s="4">
        <v>2904</v>
      </c>
      <c r="I91" s="4">
        <v>2904</v>
      </c>
      <c r="J91" s="4">
        <v>14782.92</v>
      </c>
      <c r="K91" s="4">
        <v>0</v>
      </c>
      <c r="L91" s="4" t="str">
        <f t="shared" si="57"/>
        <v>人民币</v>
      </c>
      <c r="M91" s="4" t="str">
        <f>"T4800142"</f>
        <v>T4800142</v>
      </c>
      <c r="N91" s="4" t="str">
        <f>"0275340227"</f>
        <v>0275340227</v>
      </c>
      <c r="O91" s="4" t="str">
        <f t="shared" si="58"/>
        <v>300100052893</v>
      </c>
    </row>
    <row r="92" spans="1:15">
      <c r="A92" s="4" t="str">
        <f>"20211224"</f>
        <v>20211224</v>
      </c>
      <c r="B92" s="4" t="str">
        <f>"20211224"</f>
        <v>20211224</v>
      </c>
      <c r="C92" s="4" t="str">
        <f>"证券买入"</f>
        <v>证券买入</v>
      </c>
      <c r="D92" s="4" t="str">
        <f>"159781"</f>
        <v>159781</v>
      </c>
      <c r="E92" s="4" t="str">
        <f>"科创创业"</f>
        <v>科创创业</v>
      </c>
      <c r="F92" s="4">
        <v>0.836</v>
      </c>
      <c r="G92" s="4">
        <v>14000</v>
      </c>
      <c r="H92" s="4">
        <v>11704</v>
      </c>
      <c r="I92" s="4">
        <v>-11709</v>
      </c>
      <c r="J92" s="4">
        <v>3073.92</v>
      </c>
      <c r="K92" s="4">
        <v>28000</v>
      </c>
      <c r="L92" s="4" t="str">
        <f t="shared" si="57"/>
        <v>人民币</v>
      </c>
      <c r="M92" s="4" t="str">
        <f>"T400000294"</f>
        <v>T400000294</v>
      </c>
      <c r="N92" s="4" t="str">
        <f>"0149593788"</f>
        <v>0149593788</v>
      </c>
      <c r="O92" s="4" t="str">
        <f t="shared" si="58"/>
        <v>300100052893</v>
      </c>
    </row>
    <row r="93" spans="1:15">
      <c r="A93" s="4" t="str">
        <f>"20211227"</f>
        <v>20211227</v>
      </c>
      <c r="B93" s="4" t="str">
        <f>"20211227"</f>
        <v>20211227</v>
      </c>
      <c r="C93" s="4" t="str">
        <f>"基金申购拨出"</f>
        <v>基金申购拨出</v>
      </c>
      <c r="D93" s="4" t="str">
        <f t="shared" ref="D93:D96" si="77">"AA0007"</f>
        <v>AA0007</v>
      </c>
      <c r="E93" s="4" t="str">
        <f t="shared" ref="E93:E96" si="78">"银河水星1号集合"</f>
        <v>银河水星1号集合</v>
      </c>
      <c r="F93" s="4">
        <v>0</v>
      </c>
      <c r="G93" s="4">
        <v>0</v>
      </c>
      <c r="H93" s="4">
        <v>0</v>
      </c>
      <c r="I93" s="4">
        <v>-3068.87</v>
      </c>
      <c r="J93" s="4">
        <v>5</v>
      </c>
      <c r="K93" s="4">
        <v>0</v>
      </c>
      <c r="L93" s="4" t="str">
        <f t="shared" si="57"/>
        <v>人民币</v>
      </c>
      <c r="N93" s="4" t="str">
        <f t="shared" ref="N93:N96" si="79">"980149593788"</f>
        <v>980149593788</v>
      </c>
      <c r="O93" s="4" t="str">
        <f t="shared" si="58"/>
        <v>300100052893</v>
      </c>
    </row>
    <row r="94" spans="1:15">
      <c r="A94" s="4" t="str">
        <f>"20211229"</f>
        <v>20211229</v>
      </c>
      <c r="B94" s="4" t="str">
        <f>"20211229"</f>
        <v>20211229</v>
      </c>
      <c r="C94" s="4" t="str">
        <f t="shared" ref="C94:C96" si="80">"基金赎回拨入"</f>
        <v>基金赎回拨入</v>
      </c>
      <c r="D94" s="4" t="str">
        <f t="shared" si="77"/>
        <v>AA0007</v>
      </c>
      <c r="E94" s="4" t="str">
        <f t="shared" si="78"/>
        <v>银河水星1号集合</v>
      </c>
      <c r="F94" s="4">
        <v>0</v>
      </c>
      <c r="G94" s="4">
        <v>0</v>
      </c>
      <c r="H94" s="4">
        <v>0</v>
      </c>
      <c r="I94" s="4">
        <v>0.2</v>
      </c>
      <c r="J94" s="4">
        <v>5</v>
      </c>
      <c r="K94" s="4">
        <v>0</v>
      </c>
      <c r="L94" s="4" t="str">
        <f t="shared" si="57"/>
        <v>人民币</v>
      </c>
      <c r="N94" s="4" t="str">
        <f t="shared" si="79"/>
        <v>980149593788</v>
      </c>
      <c r="O94" s="4" t="str">
        <f t="shared" si="58"/>
        <v>300100052893</v>
      </c>
    </row>
    <row r="95" spans="1:15">
      <c r="A95" s="4" t="str">
        <f>"20211230"</f>
        <v>20211230</v>
      </c>
      <c r="B95" s="4" t="str">
        <f>"20211230"</f>
        <v>20211230</v>
      </c>
      <c r="C95" s="4" t="str">
        <f t="shared" si="80"/>
        <v>基金赎回拨入</v>
      </c>
      <c r="D95" s="4" t="str">
        <f t="shared" si="77"/>
        <v>AA0007</v>
      </c>
      <c r="E95" s="4" t="str">
        <f t="shared" si="78"/>
        <v>银河水星1号集合</v>
      </c>
      <c r="F95" s="4">
        <v>0</v>
      </c>
      <c r="G95" s="4">
        <v>0</v>
      </c>
      <c r="H95" s="4">
        <v>0</v>
      </c>
      <c r="I95" s="4">
        <v>0.05</v>
      </c>
      <c r="J95" s="4">
        <v>5</v>
      </c>
      <c r="K95" s="4">
        <v>0</v>
      </c>
      <c r="L95" s="4" t="str">
        <f t="shared" si="57"/>
        <v>人民币</v>
      </c>
      <c r="N95" s="4" t="str">
        <f t="shared" si="79"/>
        <v>980149593788</v>
      </c>
      <c r="O95" s="4" t="str">
        <f t="shared" si="58"/>
        <v>300100052893</v>
      </c>
    </row>
    <row r="96" spans="1:15">
      <c r="A96" s="4" t="str">
        <f>"20211231"</f>
        <v>20211231</v>
      </c>
      <c r="B96" s="4" t="str">
        <f>"20211231"</f>
        <v>20211231</v>
      </c>
      <c r="C96" s="4" t="str">
        <f t="shared" si="80"/>
        <v>基金赎回拨入</v>
      </c>
      <c r="D96" s="4" t="str">
        <f t="shared" si="77"/>
        <v>AA0007</v>
      </c>
      <c r="E96" s="4" t="str">
        <f t="shared" si="78"/>
        <v>银河水星1号集合</v>
      </c>
      <c r="F96" s="4">
        <v>0</v>
      </c>
      <c r="G96" s="4">
        <v>0</v>
      </c>
      <c r="H96" s="4">
        <v>0</v>
      </c>
      <c r="I96" s="4">
        <v>0.05</v>
      </c>
      <c r="J96" s="4">
        <v>5</v>
      </c>
      <c r="K96" s="4">
        <v>0</v>
      </c>
      <c r="L96" s="4" t="str">
        <f t="shared" si="57"/>
        <v>人民币</v>
      </c>
      <c r="N96" s="4" t="str">
        <f t="shared" si="79"/>
        <v>980149593788</v>
      </c>
      <c r="O96" s="4" t="str">
        <f t="shared" si="58"/>
        <v>300100052893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1"/>
  <sheetViews>
    <sheetView zoomScaleSheetLayoutView="60" topLeftCell="A16" workbookViewId="0">
      <selection activeCell="F79" sqref="F79"/>
    </sheetView>
  </sheetViews>
  <sheetFormatPr defaultColWidth="9" defaultRowHeight="13.5"/>
  <cols>
    <col min="1" max="2" width="9" style="4"/>
    <col min="3" max="4" width="9" style="4" hidden="1" customWidth="1"/>
    <col min="5" max="10" width="9" style="4"/>
    <col min="11" max="11" width="9" style="4" customWidth="1"/>
    <col min="12" max="13" width="9" style="4" hidden="1" customWidth="1"/>
    <col min="14" max="14" width="9.375" style="4"/>
    <col min="15" max="16384" width="9" style="4"/>
  </cols>
  <sheetData>
    <row r="1" spans="1:29">
      <c r="A1" s="4" t="str">
        <f>"交收日期"</f>
        <v>交收日期</v>
      </c>
      <c r="B1" s="4" t="str">
        <f>"清算日期"</f>
        <v>清算日期</v>
      </c>
      <c r="C1" s="4" t="str">
        <f>"委托日期"</f>
        <v>委托日期</v>
      </c>
      <c r="D1" s="4" t="str">
        <f>"委托时间"</f>
        <v>委托时间</v>
      </c>
      <c r="E1" s="4" t="str">
        <f>"业务类型"</f>
        <v>业务类型</v>
      </c>
      <c r="F1" s="4" t="str">
        <f>"证券代码"</f>
        <v>证券代码</v>
      </c>
      <c r="G1" s="4" t="str">
        <f>"证券名称"</f>
        <v>证券名称</v>
      </c>
      <c r="H1" s="4" t="str">
        <f>"成交价格"</f>
        <v>成交价格</v>
      </c>
      <c r="I1" s="4" t="str">
        <f>"成交数量"</f>
        <v>成交数量</v>
      </c>
      <c r="J1" s="4" t="str">
        <f>"成交金额"</f>
        <v>成交金额</v>
      </c>
      <c r="K1" s="4" t="str">
        <f>"发生金额"</f>
        <v>发生金额</v>
      </c>
      <c r="L1" s="4" t="str">
        <f>"委托数量"</f>
        <v>委托数量</v>
      </c>
      <c r="M1" s="4" t="str">
        <f>"委托价格(港币)"</f>
        <v>委托价格(港币)</v>
      </c>
      <c r="N1" s="4" t="str">
        <f>"剩余金额"</f>
        <v>剩余金额</v>
      </c>
      <c r="O1" s="4" t="str">
        <f>"证券数量"</f>
        <v>证券数量</v>
      </c>
      <c r="P1" s="4" t="str">
        <f>"印花税"</f>
        <v>印花税</v>
      </c>
      <c r="Q1" s="4" t="str">
        <f>"手续费"</f>
        <v>手续费</v>
      </c>
      <c r="R1" s="4" t="str">
        <f>"股份交收费"</f>
        <v>股份交收费</v>
      </c>
      <c r="S1" s="4" t="str">
        <f>"交易费"</f>
        <v>交易费</v>
      </c>
      <c r="T1" s="4" t="str">
        <f>"前台费"</f>
        <v>前台费</v>
      </c>
      <c r="U1" s="4" t="str">
        <f>"交易系统使用费"</f>
        <v>交易系统使用费</v>
      </c>
      <c r="V1" s="4" t="str">
        <f>"交易征费"</f>
        <v>交易征费</v>
      </c>
      <c r="W1" s="4" t="str">
        <f>"其他费"</f>
        <v>其他费</v>
      </c>
      <c r="X1" s="4" t="str">
        <f>"财汇局征费"</f>
        <v>财汇局征费</v>
      </c>
      <c r="Y1" s="4" t="str">
        <f>"结算汇率"</f>
        <v>结算汇率</v>
      </c>
      <c r="Z1" s="4" t="str">
        <f>"协议编号"</f>
        <v>协议编号</v>
      </c>
      <c r="AA1" s="4" t="str">
        <f>"成交时间"</f>
        <v>成交时间</v>
      </c>
      <c r="AB1" s="4" t="str">
        <f>"币种"</f>
        <v>币种</v>
      </c>
      <c r="AC1" s="4" t="str">
        <f>"股东代码"</f>
        <v>股东代码</v>
      </c>
    </row>
    <row r="2" spans="1:29">
      <c r="A2" s="4" t="str">
        <f>"20211008"</f>
        <v>20211008</v>
      </c>
      <c r="B2" s="4" t="str">
        <f>"20211008"</f>
        <v>20211008</v>
      </c>
      <c r="C2" s="4" t="str">
        <f>"20211008"</f>
        <v>20211008</v>
      </c>
      <c r="D2" s="4" t="str">
        <f t="shared" ref="D2:D16" si="0">"00:00:00"</f>
        <v>00:00:00</v>
      </c>
      <c r="E2" s="4" t="str">
        <f>"港股通红利发放"</f>
        <v>港股通红利发放</v>
      </c>
      <c r="F2" s="4" t="str">
        <f>"00386"</f>
        <v>00386</v>
      </c>
      <c r="G2" s="4" t="str">
        <f>"中国石油"</f>
        <v>中国石油</v>
      </c>
      <c r="H2" s="4">
        <v>0.13</v>
      </c>
      <c r="I2" s="4">
        <v>54000</v>
      </c>
      <c r="J2" s="4">
        <v>6912</v>
      </c>
      <c r="K2" s="4">
        <v>6912</v>
      </c>
      <c r="L2" s="4">
        <v>0</v>
      </c>
      <c r="M2" s="4">
        <v>0</v>
      </c>
      <c r="N2" s="4">
        <v>15448.21</v>
      </c>
      <c r="O2" s="4">
        <v>54000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1</v>
      </c>
      <c r="AA2" s="4" t="str">
        <f t="shared" ref="AA2:AA16" si="1">"0"</f>
        <v>0</v>
      </c>
      <c r="AB2" s="4" t="str">
        <f t="shared" ref="AB2:AB61" si="2">"人民币"</f>
        <v>人民币</v>
      </c>
      <c r="AC2" s="4" t="str">
        <f t="shared" ref="AC2:AC61" si="3">"A368402599"</f>
        <v>A368402599</v>
      </c>
    </row>
    <row r="3" spans="1:29">
      <c r="A3" s="4" t="str">
        <f>"20211008"</f>
        <v>20211008</v>
      </c>
      <c r="B3" s="4" t="str">
        <f>"20211008"</f>
        <v>20211008</v>
      </c>
      <c r="C3" s="4" t="str">
        <f t="shared" ref="C3:C16" si="4">"0"</f>
        <v>0</v>
      </c>
      <c r="D3" s="4" t="str">
        <f t="shared" si="0"/>
        <v>00:00:00</v>
      </c>
      <c r="E3" s="4" t="str">
        <f t="shared" ref="E3:E16" si="5">"港股通组合费"</f>
        <v>港股通组合费</v>
      </c>
      <c r="H3" s="4">
        <v>0</v>
      </c>
      <c r="I3" s="4">
        <v>0</v>
      </c>
      <c r="J3" s="4">
        <v>0.4</v>
      </c>
      <c r="K3" s="4">
        <v>-0.4</v>
      </c>
      <c r="L3" s="4">
        <v>0</v>
      </c>
      <c r="M3" s="4">
        <v>0</v>
      </c>
      <c r="N3" s="4">
        <v>15447.81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 t="str">
        <f t="shared" ref="Z3:Z16" si="6">"0"</f>
        <v>0</v>
      </c>
      <c r="AA3" s="4" t="str">
        <f t="shared" si="1"/>
        <v>0</v>
      </c>
      <c r="AB3" s="4" t="str">
        <f t="shared" si="2"/>
        <v>人民币</v>
      </c>
      <c r="AC3" s="4" t="str">
        <f t="shared" si="3"/>
        <v>A368402599</v>
      </c>
    </row>
    <row r="4" spans="1:29">
      <c r="A4" s="4" t="str">
        <f>"20211011"</f>
        <v>20211011</v>
      </c>
      <c r="B4" s="4" t="str">
        <f>"20211011"</f>
        <v>20211011</v>
      </c>
      <c r="C4" s="4" t="str">
        <f t="shared" si="4"/>
        <v>0</v>
      </c>
      <c r="D4" s="4" t="str">
        <f t="shared" si="0"/>
        <v>00:00:00</v>
      </c>
      <c r="E4" s="4" t="str">
        <f t="shared" si="5"/>
        <v>港股通组合费</v>
      </c>
      <c r="H4" s="4">
        <v>0</v>
      </c>
      <c r="I4" s="4">
        <v>0</v>
      </c>
      <c r="J4" s="4">
        <v>0.15</v>
      </c>
      <c r="K4" s="4">
        <v>-0.15</v>
      </c>
      <c r="L4" s="4">
        <v>0</v>
      </c>
      <c r="M4" s="4">
        <v>0</v>
      </c>
      <c r="N4" s="4">
        <v>8389.85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 t="str">
        <f t="shared" si="6"/>
        <v>0</v>
      </c>
      <c r="AA4" s="4" t="str">
        <f t="shared" si="1"/>
        <v>0</v>
      </c>
      <c r="AB4" s="4" t="str">
        <f t="shared" si="2"/>
        <v>人民币</v>
      </c>
      <c r="AC4" s="4" t="str">
        <f t="shared" si="3"/>
        <v>A368402599</v>
      </c>
    </row>
    <row r="5" spans="1:29">
      <c r="A5" s="4" t="str">
        <f>"20211012"</f>
        <v>20211012</v>
      </c>
      <c r="B5" s="4" t="str">
        <f>"20211012"</f>
        <v>20211012</v>
      </c>
      <c r="C5" s="4" t="str">
        <f t="shared" si="4"/>
        <v>0</v>
      </c>
      <c r="D5" s="4" t="str">
        <f t="shared" si="0"/>
        <v>00:00:00</v>
      </c>
      <c r="E5" s="4" t="str">
        <f t="shared" si="5"/>
        <v>港股通组合费</v>
      </c>
      <c r="H5" s="4">
        <v>0</v>
      </c>
      <c r="I5" s="4">
        <v>0</v>
      </c>
      <c r="J5" s="4">
        <v>0.05</v>
      </c>
      <c r="K5" s="4">
        <v>-0.05</v>
      </c>
      <c r="L5" s="4">
        <v>0</v>
      </c>
      <c r="M5" s="4">
        <v>0</v>
      </c>
      <c r="N5" s="4">
        <v>8139.95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 t="str">
        <f t="shared" si="6"/>
        <v>0</v>
      </c>
      <c r="AA5" s="4" t="str">
        <f t="shared" si="1"/>
        <v>0</v>
      </c>
      <c r="AB5" s="4" t="str">
        <f t="shared" si="2"/>
        <v>人民币</v>
      </c>
      <c r="AC5" s="4" t="str">
        <f t="shared" si="3"/>
        <v>A368402599</v>
      </c>
    </row>
    <row r="6" spans="1:29">
      <c r="A6" s="4" t="str">
        <f>"20211013"</f>
        <v>20211013</v>
      </c>
      <c r="B6" s="4" t="str">
        <f>"20211013"</f>
        <v>20211013</v>
      </c>
      <c r="C6" s="4" t="str">
        <f t="shared" si="4"/>
        <v>0</v>
      </c>
      <c r="D6" s="4" t="str">
        <f t="shared" si="0"/>
        <v>00:00:00</v>
      </c>
      <c r="E6" s="4" t="str">
        <f t="shared" si="5"/>
        <v>港股通组合费</v>
      </c>
      <c r="H6" s="4">
        <v>0</v>
      </c>
      <c r="I6" s="4">
        <v>0</v>
      </c>
      <c r="J6" s="4">
        <v>0.05</v>
      </c>
      <c r="K6" s="4">
        <v>-0.05</v>
      </c>
      <c r="L6" s="4">
        <v>0</v>
      </c>
      <c r="M6" s="4">
        <v>0</v>
      </c>
      <c r="N6" s="4">
        <v>8249.95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 t="str">
        <f t="shared" si="6"/>
        <v>0</v>
      </c>
      <c r="AA6" s="4" t="str">
        <f t="shared" si="1"/>
        <v>0</v>
      </c>
      <c r="AB6" s="4" t="str">
        <f t="shared" si="2"/>
        <v>人民币</v>
      </c>
      <c r="AC6" s="4" t="str">
        <f t="shared" si="3"/>
        <v>A368402599</v>
      </c>
    </row>
    <row r="7" spans="1:29">
      <c r="A7" s="4" t="str">
        <f>"20211015"</f>
        <v>20211015</v>
      </c>
      <c r="B7" s="4" t="str">
        <f>"20211015"</f>
        <v>20211015</v>
      </c>
      <c r="C7" s="4" t="str">
        <f t="shared" si="4"/>
        <v>0</v>
      </c>
      <c r="D7" s="4" t="str">
        <f t="shared" si="0"/>
        <v>00:00:00</v>
      </c>
      <c r="E7" s="4" t="str">
        <f t="shared" si="5"/>
        <v>港股通组合费</v>
      </c>
      <c r="H7" s="4">
        <v>0</v>
      </c>
      <c r="I7" s="4">
        <v>0</v>
      </c>
      <c r="J7" s="4">
        <v>0.1</v>
      </c>
      <c r="K7" s="4">
        <v>-0.1</v>
      </c>
      <c r="L7" s="4">
        <v>0</v>
      </c>
      <c r="M7" s="4">
        <v>0</v>
      </c>
      <c r="N7" s="4">
        <v>8369.9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 t="str">
        <f t="shared" si="6"/>
        <v>0</v>
      </c>
      <c r="AA7" s="4" t="str">
        <f t="shared" si="1"/>
        <v>0</v>
      </c>
      <c r="AB7" s="4" t="str">
        <f t="shared" si="2"/>
        <v>人民币</v>
      </c>
      <c r="AC7" s="4" t="str">
        <f t="shared" si="3"/>
        <v>A368402599</v>
      </c>
    </row>
    <row r="8" spans="1:29">
      <c r="A8" s="4" t="str">
        <f>"20211018"</f>
        <v>20211018</v>
      </c>
      <c r="B8" s="4" t="str">
        <f>"20211018"</f>
        <v>20211018</v>
      </c>
      <c r="C8" s="4" t="str">
        <f t="shared" si="4"/>
        <v>0</v>
      </c>
      <c r="D8" s="4" t="str">
        <f t="shared" si="0"/>
        <v>00:00:00</v>
      </c>
      <c r="E8" s="4" t="str">
        <f t="shared" si="5"/>
        <v>港股通组合费</v>
      </c>
      <c r="H8" s="4">
        <v>0</v>
      </c>
      <c r="I8" s="4">
        <v>0</v>
      </c>
      <c r="J8" s="4">
        <v>0.15</v>
      </c>
      <c r="K8" s="4">
        <v>-0.15</v>
      </c>
      <c r="L8" s="4">
        <v>0</v>
      </c>
      <c r="M8" s="4">
        <v>0</v>
      </c>
      <c r="N8" s="4">
        <v>8369.85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 t="str">
        <f t="shared" si="6"/>
        <v>0</v>
      </c>
      <c r="AA8" s="4" t="str">
        <f t="shared" si="1"/>
        <v>0</v>
      </c>
      <c r="AB8" s="4" t="str">
        <f t="shared" si="2"/>
        <v>人民币</v>
      </c>
      <c r="AC8" s="4" t="str">
        <f t="shared" si="3"/>
        <v>A368402599</v>
      </c>
    </row>
    <row r="9" spans="1:29">
      <c r="A9" s="4" t="str">
        <f>"20211019"</f>
        <v>20211019</v>
      </c>
      <c r="B9" s="4" t="str">
        <f>"20211019"</f>
        <v>20211019</v>
      </c>
      <c r="C9" s="4" t="str">
        <f t="shared" si="4"/>
        <v>0</v>
      </c>
      <c r="D9" s="4" t="str">
        <f t="shared" si="0"/>
        <v>00:00:00</v>
      </c>
      <c r="E9" s="4" t="str">
        <f t="shared" si="5"/>
        <v>港股通组合费</v>
      </c>
      <c r="H9" s="4">
        <v>0</v>
      </c>
      <c r="I9" s="4">
        <v>0</v>
      </c>
      <c r="J9" s="4">
        <v>0.05</v>
      </c>
      <c r="K9" s="4">
        <v>-0.05</v>
      </c>
      <c r="L9" s="4">
        <v>0</v>
      </c>
      <c r="M9" s="4">
        <v>0</v>
      </c>
      <c r="N9" s="4">
        <v>8369.95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 t="str">
        <f t="shared" si="6"/>
        <v>0</v>
      </c>
      <c r="AA9" s="4" t="str">
        <f t="shared" si="1"/>
        <v>0</v>
      </c>
      <c r="AB9" s="4" t="str">
        <f t="shared" si="2"/>
        <v>人民币</v>
      </c>
      <c r="AC9" s="4" t="str">
        <f t="shared" si="3"/>
        <v>A368402599</v>
      </c>
    </row>
    <row r="10" spans="1:29">
      <c r="A10" s="4" t="str">
        <f>"20211020"</f>
        <v>20211020</v>
      </c>
      <c r="B10" s="4" t="str">
        <f>"20211020"</f>
        <v>20211020</v>
      </c>
      <c r="C10" s="4" t="str">
        <f t="shared" si="4"/>
        <v>0</v>
      </c>
      <c r="D10" s="4" t="str">
        <f t="shared" si="0"/>
        <v>00:00:00</v>
      </c>
      <c r="E10" s="4" t="str">
        <f t="shared" si="5"/>
        <v>港股通组合费</v>
      </c>
      <c r="H10" s="4">
        <v>0</v>
      </c>
      <c r="I10" s="4">
        <v>0</v>
      </c>
      <c r="J10" s="4">
        <v>0.05</v>
      </c>
      <c r="K10" s="4">
        <v>-0.05</v>
      </c>
      <c r="L10" s="4">
        <v>0</v>
      </c>
      <c r="M10" s="4">
        <v>0</v>
      </c>
      <c r="N10" s="4">
        <v>8369.95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 t="str">
        <f t="shared" si="6"/>
        <v>0</v>
      </c>
      <c r="AA10" s="4" t="str">
        <f t="shared" si="1"/>
        <v>0</v>
      </c>
      <c r="AB10" s="4" t="str">
        <f t="shared" si="2"/>
        <v>人民币</v>
      </c>
      <c r="AC10" s="4" t="str">
        <f t="shared" si="3"/>
        <v>A368402599</v>
      </c>
    </row>
    <row r="11" spans="1:29">
      <c r="A11" s="4" t="str">
        <f>"20211021"</f>
        <v>20211021</v>
      </c>
      <c r="B11" s="4" t="str">
        <f>"20211021"</f>
        <v>20211021</v>
      </c>
      <c r="C11" s="4" t="str">
        <f t="shared" si="4"/>
        <v>0</v>
      </c>
      <c r="D11" s="4" t="str">
        <f t="shared" si="0"/>
        <v>00:00:00</v>
      </c>
      <c r="E11" s="4" t="str">
        <f t="shared" si="5"/>
        <v>港股通组合费</v>
      </c>
      <c r="H11" s="4">
        <v>0</v>
      </c>
      <c r="I11" s="4">
        <v>0</v>
      </c>
      <c r="J11" s="4">
        <v>0.05</v>
      </c>
      <c r="K11" s="4">
        <v>-0.05</v>
      </c>
      <c r="L11" s="4">
        <v>0</v>
      </c>
      <c r="M11" s="4">
        <v>0</v>
      </c>
      <c r="N11" s="4">
        <v>8369.95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 t="str">
        <f t="shared" si="6"/>
        <v>0</v>
      </c>
      <c r="AA11" s="4" t="str">
        <f t="shared" si="1"/>
        <v>0</v>
      </c>
      <c r="AB11" s="4" t="str">
        <f t="shared" si="2"/>
        <v>人民币</v>
      </c>
      <c r="AC11" s="4" t="str">
        <f t="shared" si="3"/>
        <v>A368402599</v>
      </c>
    </row>
    <row r="12" spans="1:29">
      <c r="A12" s="4" t="str">
        <f>"20211022"</f>
        <v>20211022</v>
      </c>
      <c r="B12" s="4" t="str">
        <f>"20211022"</f>
        <v>20211022</v>
      </c>
      <c r="C12" s="4" t="str">
        <f t="shared" si="4"/>
        <v>0</v>
      </c>
      <c r="D12" s="4" t="str">
        <f t="shared" si="0"/>
        <v>00:00:00</v>
      </c>
      <c r="E12" s="4" t="str">
        <f t="shared" si="5"/>
        <v>港股通组合费</v>
      </c>
      <c r="H12" s="4">
        <v>0</v>
      </c>
      <c r="I12" s="4">
        <v>0</v>
      </c>
      <c r="J12" s="4">
        <v>0.05</v>
      </c>
      <c r="K12" s="4">
        <v>-0.05</v>
      </c>
      <c r="L12" s="4">
        <v>0</v>
      </c>
      <c r="M12" s="4">
        <v>0</v>
      </c>
      <c r="N12" s="4">
        <v>8369.95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 t="str">
        <f t="shared" si="6"/>
        <v>0</v>
      </c>
      <c r="AA12" s="4" t="str">
        <f t="shared" si="1"/>
        <v>0</v>
      </c>
      <c r="AB12" s="4" t="str">
        <f t="shared" si="2"/>
        <v>人民币</v>
      </c>
      <c r="AC12" s="4" t="str">
        <f t="shared" si="3"/>
        <v>A368402599</v>
      </c>
    </row>
    <row r="13" spans="1:29">
      <c r="A13" s="4" t="str">
        <f>"20211025"</f>
        <v>20211025</v>
      </c>
      <c r="B13" s="4" t="str">
        <f>"20211025"</f>
        <v>20211025</v>
      </c>
      <c r="C13" s="4" t="str">
        <f t="shared" si="4"/>
        <v>0</v>
      </c>
      <c r="D13" s="4" t="str">
        <f t="shared" si="0"/>
        <v>00:00:00</v>
      </c>
      <c r="E13" s="4" t="str">
        <f t="shared" si="5"/>
        <v>港股通组合费</v>
      </c>
      <c r="H13" s="4">
        <v>0</v>
      </c>
      <c r="I13" s="4">
        <v>0</v>
      </c>
      <c r="J13" s="4">
        <v>0.15</v>
      </c>
      <c r="K13" s="4">
        <v>-0.15</v>
      </c>
      <c r="L13" s="4">
        <v>0</v>
      </c>
      <c r="M13" s="4">
        <v>0</v>
      </c>
      <c r="N13" s="4">
        <v>8369.85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 t="str">
        <f t="shared" si="6"/>
        <v>0</v>
      </c>
      <c r="AA13" s="4" t="str">
        <f t="shared" si="1"/>
        <v>0</v>
      </c>
      <c r="AB13" s="4" t="str">
        <f t="shared" si="2"/>
        <v>人民币</v>
      </c>
      <c r="AC13" s="4" t="str">
        <f t="shared" si="3"/>
        <v>A368402599</v>
      </c>
    </row>
    <row r="14" spans="1:29">
      <c r="A14" s="4" t="str">
        <f>"20211026"</f>
        <v>20211026</v>
      </c>
      <c r="B14" s="4" t="str">
        <f>"20211026"</f>
        <v>20211026</v>
      </c>
      <c r="C14" s="4" t="str">
        <f t="shared" si="4"/>
        <v>0</v>
      </c>
      <c r="D14" s="4" t="str">
        <f t="shared" si="0"/>
        <v>00:00:00</v>
      </c>
      <c r="E14" s="4" t="str">
        <f t="shared" si="5"/>
        <v>港股通组合费</v>
      </c>
      <c r="H14" s="4">
        <v>0</v>
      </c>
      <c r="I14" s="4">
        <v>0</v>
      </c>
      <c r="J14" s="4">
        <v>0.05</v>
      </c>
      <c r="K14" s="4">
        <v>-0.05</v>
      </c>
      <c r="L14" s="4">
        <v>0</v>
      </c>
      <c r="M14" s="4">
        <v>0</v>
      </c>
      <c r="N14" s="4">
        <v>8559.95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 t="str">
        <f t="shared" si="6"/>
        <v>0</v>
      </c>
      <c r="AA14" s="4" t="str">
        <f t="shared" si="1"/>
        <v>0</v>
      </c>
      <c r="AB14" s="4" t="str">
        <f t="shared" si="2"/>
        <v>人民币</v>
      </c>
      <c r="AC14" s="4" t="str">
        <f t="shared" si="3"/>
        <v>A368402599</v>
      </c>
    </row>
    <row r="15" spans="1:29">
      <c r="A15" s="4" t="str">
        <f>"20211027"</f>
        <v>20211027</v>
      </c>
      <c r="B15" s="4" t="str">
        <f>"20211027"</f>
        <v>20211027</v>
      </c>
      <c r="C15" s="4" t="str">
        <f t="shared" si="4"/>
        <v>0</v>
      </c>
      <c r="D15" s="4" t="str">
        <f t="shared" si="0"/>
        <v>00:00:00</v>
      </c>
      <c r="E15" s="4" t="str">
        <f t="shared" si="5"/>
        <v>港股通组合费</v>
      </c>
      <c r="H15" s="4">
        <v>0</v>
      </c>
      <c r="I15" s="4">
        <v>0</v>
      </c>
      <c r="J15" s="4">
        <v>0.05</v>
      </c>
      <c r="K15" s="4">
        <v>-0.05</v>
      </c>
      <c r="L15" s="4">
        <v>0</v>
      </c>
      <c r="M15" s="4">
        <v>0</v>
      </c>
      <c r="N15" s="4">
        <v>29621.92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 t="str">
        <f t="shared" si="6"/>
        <v>0</v>
      </c>
      <c r="AA15" s="4" t="str">
        <f t="shared" si="1"/>
        <v>0</v>
      </c>
      <c r="AB15" s="4" t="str">
        <f t="shared" si="2"/>
        <v>人民币</v>
      </c>
      <c r="AC15" s="4" t="str">
        <f t="shared" si="3"/>
        <v>A368402599</v>
      </c>
    </row>
    <row r="16" spans="1:29">
      <c r="A16" s="4" t="str">
        <f>"20211028"</f>
        <v>20211028</v>
      </c>
      <c r="B16" s="4" t="str">
        <f>"20211028"</f>
        <v>20211028</v>
      </c>
      <c r="C16" s="4" t="str">
        <f t="shared" si="4"/>
        <v>0</v>
      </c>
      <c r="D16" s="4" t="str">
        <f t="shared" si="0"/>
        <v>00:00:00</v>
      </c>
      <c r="E16" s="4" t="str">
        <f t="shared" si="5"/>
        <v>港股通组合费</v>
      </c>
      <c r="H16" s="4">
        <v>0</v>
      </c>
      <c r="I16" s="4">
        <v>0</v>
      </c>
      <c r="J16" s="4">
        <v>0.04</v>
      </c>
      <c r="K16" s="4">
        <v>-0.04</v>
      </c>
      <c r="L16" s="4">
        <v>0</v>
      </c>
      <c r="M16" s="4">
        <v>0</v>
      </c>
      <c r="N16" s="4">
        <v>20708.24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 t="str">
        <f t="shared" si="6"/>
        <v>0</v>
      </c>
      <c r="AA16" s="4" t="str">
        <f t="shared" si="1"/>
        <v>0</v>
      </c>
      <c r="AB16" s="4" t="str">
        <f t="shared" si="2"/>
        <v>人民币</v>
      </c>
      <c r="AC16" s="4" t="str">
        <f t="shared" si="3"/>
        <v>A368402599</v>
      </c>
    </row>
    <row r="17" spans="1:29">
      <c r="A17" s="4" t="str">
        <f>"20211029"</f>
        <v>20211029</v>
      </c>
      <c r="B17" s="4" t="str">
        <f>"20211027"</f>
        <v>20211027</v>
      </c>
      <c r="C17" s="4" t="str">
        <f>"20211027"</f>
        <v>20211027</v>
      </c>
      <c r="D17" s="4" t="str">
        <f>"13:32:11"</f>
        <v>13:32:11</v>
      </c>
      <c r="E17" s="4" t="str">
        <f>"港股通股票买入"</f>
        <v>港股通股票买入</v>
      </c>
      <c r="F17" s="4" t="str">
        <f>"01099"</f>
        <v>01099</v>
      </c>
      <c r="G17" s="4" t="str">
        <f>"国药控股"</f>
        <v>国药控股</v>
      </c>
      <c r="H17" s="4">
        <v>15.33</v>
      </c>
      <c r="I17" s="4">
        <v>800</v>
      </c>
      <c r="J17" s="4">
        <v>12262.75</v>
      </c>
      <c r="K17" s="4">
        <v>-12288.28</v>
      </c>
      <c r="L17" s="4">
        <v>800</v>
      </c>
      <c r="M17" s="4">
        <v>18.68</v>
      </c>
      <c r="N17" s="4">
        <v>8560</v>
      </c>
      <c r="O17" s="4">
        <v>2000</v>
      </c>
      <c r="P17" s="4">
        <v>16.41</v>
      </c>
      <c r="Q17" s="4">
        <v>6.13</v>
      </c>
      <c r="R17" s="4">
        <v>1.64</v>
      </c>
      <c r="S17" s="4">
        <v>0.61</v>
      </c>
      <c r="T17" s="4">
        <v>0</v>
      </c>
      <c r="U17" s="4">
        <v>0.41</v>
      </c>
      <c r="V17" s="4">
        <v>0.32</v>
      </c>
      <c r="W17" s="4">
        <v>0.01</v>
      </c>
      <c r="X17" s="4">
        <v>0</v>
      </c>
      <c r="Y17" s="4">
        <v>0.82058</v>
      </c>
      <c r="Z17" s="4" t="str">
        <f>"1099000001784"</f>
        <v>1099000001784</v>
      </c>
      <c r="AA17" s="4" t="str">
        <f>"133211"</f>
        <v>133211</v>
      </c>
      <c r="AB17" s="4" t="str">
        <f t="shared" si="2"/>
        <v>人民币</v>
      </c>
      <c r="AC17" s="4" t="str">
        <f t="shared" si="3"/>
        <v>A368402599</v>
      </c>
    </row>
    <row r="18" spans="1:29">
      <c r="A18" s="4" t="str">
        <f>"20211029"</f>
        <v>20211029</v>
      </c>
      <c r="B18" s="4" t="str">
        <f>"20211029"</f>
        <v>20211029</v>
      </c>
      <c r="C18" s="4" t="str">
        <f t="shared" ref="C18:C61" si="7">"0"</f>
        <v>0</v>
      </c>
      <c r="D18" s="4" t="str">
        <f t="shared" ref="D18:D61" si="8">"00:00:00"</f>
        <v>00:00:00</v>
      </c>
      <c r="E18" s="4" t="str">
        <f t="shared" ref="E18:E61" si="9">"港股通组合费"</f>
        <v>港股通组合费</v>
      </c>
      <c r="H18" s="4">
        <v>0</v>
      </c>
      <c r="I18" s="4">
        <v>0</v>
      </c>
      <c r="J18" s="4">
        <v>0.04</v>
      </c>
      <c r="K18" s="4">
        <v>-0.04</v>
      </c>
      <c r="L18" s="4">
        <v>0</v>
      </c>
      <c r="M18" s="4">
        <v>0</v>
      </c>
      <c r="N18" s="4">
        <v>8559.96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 t="str">
        <f t="shared" ref="Z18:Z61" si="10">"0"</f>
        <v>0</v>
      </c>
      <c r="AA18" s="4" t="str">
        <f t="shared" ref="AA18:AA61" si="11">"0"</f>
        <v>0</v>
      </c>
      <c r="AB18" s="4" t="str">
        <f t="shared" si="2"/>
        <v>人民币</v>
      </c>
      <c r="AC18" s="4" t="str">
        <f t="shared" si="3"/>
        <v>A368402599</v>
      </c>
    </row>
    <row r="19" spans="1:29">
      <c r="A19" s="4" t="str">
        <f>"20211101"</f>
        <v>20211101</v>
      </c>
      <c r="B19" s="4" t="str">
        <f>"20211101"</f>
        <v>20211101</v>
      </c>
      <c r="C19" s="4" t="str">
        <f t="shared" si="7"/>
        <v>0</v>
      </c>
      <c r="D19" s="4" t="str">
        <f t="shared" si="8"/>
        <v>00:00:00</v>
      </c>
      <c r="E19" s="4" t="str">
        <f t="shared" si="9"/>
        <v>港股通组合费</v>
      </c>
      <c r="H19" s="4">
        <v>0</v>
      </c>
      <c r="I19" s="4">
        <v>0</v>
      </c>
      <c r="J19" s="4">
        <v>0.15</v>
      </c>
      <c r="K19" s="4">
        <v>-0.15</v>
      </c>
      <c r="L19" s="4">
        <v>0</v>
      </c>
      <c r="M19" s="4">
        <v>0</v>
      </c>
      <c r="N19" s="4">
        <v>8559.85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 t="str">
        <f t="shared" si="10"/>
        <v>0</v>
      </c>
      <c r="AA19" s="4" t="str">
        <f t="shared" si="11"/>
        <v>0</v>
      </c>
      <c r="AB19" s="4" t="str">
        <f t="shared" si="2"/>
        <v>人民币</v>
      </c>
      <c r="AC19" s="4" t="str">
        <f t="shared" si="3"/>
        <v>A368402599</v>
      </c>
    </row>
    <row r="20" spans="1:29">
      <c r="A20" s="4" t="str">
        <f>"20211102"</f>
        <v>20211102</v>
      </c>
      <c r="B20" s="4" t="str">
        <f>"20211102"</f>
        <v>20211102</v>
      </c>
      <c r="C20" s="4" t="str">
        <f t="shared" si="7"/>
        <v>0</v>
      </c>
      <c r="D20" s="4" t="str">
        <f t="shared" si="8"/>
        <v>00:00:00</v>
      </c>
      <c r="E20" s="4" t="str">
        <f t="shared" si="9"/>
        <v>港股通组合费</v>
      </c>
      <c r="H20" s="4">
        <v>0</v>
      </c>
      <c r="I20" s="4">
        <v>0</v>
      </c>
      <c r="J20" s="4">
        <v>0.05</v>
      </c>
      <c r="K20" s="4">
        <v>-0.05</v>
      </c>
      <c r="L20" s="4">
        <v>0</v>
      </c>
      <c r="M20" s="4">
        <v>0</v>
      </c>
      <c r="N20" s="4">
        <v>17214.95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 t="str">
        <f t="shared" si="10"/>
        <v>0</v>
      </c>
      <c r="AA20" s="4" t="str">
        <f t="shared" si="11"/>
        <v>0</v>
      </c>
      <c r="AB20" s="4" t="str">
        <f t="shared" si="2"/>
        <v>人民币</v>
      </c>
      <c r="AC20" s="4" t="str">
        <f t="shared" si="3"/>
        <v>A368402599</v>
      </c>
    </row>
    <row r="21" spans="1:29">
      <c r="A21" s="4" t="str">
        <f>"20211103"</f>
        <v>20211103</v>
      </c>
      <c r="B21" s="4" t="str">
        <f>"20211103"</f>
        <v>20211103</v>
      </c>
      <c r="C21" s="4" t="str">
        <f t="shared" si="7"/>
        <v>0</v>
      </c>
      <c r="D21" s="4" t="str">
        <f t="shared" si="8"/>
        <v>00:00:00</v>
      </c>
      <c r="E21" s="4" t="str">
        <f t="shared" si="9"/>
        <v>港股通组合费</v>
      </c>
      <c r="H21" s="4">
        <v>0</v>
      </c>
      <c r="I21" s="4">
        <v>0</v>
      </c>
      <c r="J21" s="4">
        <v>0.05</v>
      </c>
      <c r="K21" s="4">
        <v>-0.05</v>
      </c>
      <c r="L21" s="4">
        <v>0</v>
      </c>
      <c r="M21" s="4">
        <v>0</v>
      </c>
      <c r="N21" s="4">
        <v>4.95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 t="str">
        <f t="shared" si="10"/>
        <v>0</v>
      </c>
      <c r="AA21" s="4" t="str">
        <f t="shared" si="11"/>
        <v>0</v>
      </c>
      <c r="AB21" s="4" t="str">
        <f t="shared" si="2"/>
        <v>人民币</v>
      </c>
      <c r="AC21" s="4" t="str">
        <f t="shared" si="3"/>
        <v>A368402599</v>
      </c>
    </row>
    <row r="22" spans="1:29">
      <c r="A22" s="4" t="str">
        <f>"20211104"</f>
        <v>20211104</v>
      </c>
      <c r="B22" s="4" t="str">
        <f>"20211104"</f>
        <v>20211104</v>
      </c>
      <c r="C22" s="4" t="str">
        <f t="shared" si="7"/>
        <v>0</v>
      </c>
      <c r="D22" s="4" t="str">
        <f t="shared" si="8"/>
        <v>00:00:00</v>
      </c>
      <c r="E22" s="4" t="str">
        <f t="shared" si="9"/>
        <v>港股通组合费</v>
      </c>
      <c r="H22" s="4">
        <v>0</v>
      </c>
      <c r="I22" s="4">
        <v>0</v>
      </c>
      <c r="J22" s="4">
        <v>0.05</v>
      </c>
      <c r="K22" s="4">
        <v>-0.05</v>
      </c>
      <c r="L22" s="4">
        <v>0</v>
      </c>
      <c r="M22" s="4">
        <v>0</v>
      </c>
      <c r="N22" s="4">
        <v>8749.9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 t="str">
        <f t="shared" si="10"/>
        <v>0</v>
      </c>
      <c r="AA22" s="4" t="str">
        <f t="shared" si="11"/>
        <v>0</v>
      </c>
      <c r="AB22" s="4" t="str">
        <f t="shared" si="2"/>
        <v>人民币</v>
      </c>
      <c r="AC22" s="4" t="str">
        <f t="shared" si="3"/>
        <v>A368402599</v>
      </c>
    </row>
    <row r="23" spans="1:29">
      <c r="A23" s="4" t="str">
        <f>"20211105"</f>
        <v>20211105</v>
      </c>
      <c r="B23" s="4" t="str">
        <f>"20211105"</f>
        <v>20211105</v>
      </c>
      <c r="C23" s="4" t="str">
        <f t="shared" si="7"/>
        <v>0</v>
      </c>
      <c r="D23" s="4" t="str">
        <f t="shared" si="8"/>
        <v>00:00:00</v>
      </c>
      <c r="E23" s="4" t="str">
        <f t="shared" si="9"/>
        <v>港股通组合费</v>
      </c>
      <c r="H23" s="4">
        <v>0</v>
      </c>
      <c r="I23" s="4">
        <v>0</v>
      </c>
      <c r="J23" s="4">
        <v>0.05</v>
      </c>
      <c r="K23" s="4">
        <v>-0.05</v>
      </c>
      <c r="L23" s="4">
        <v>0</v>
      </c>
      <c r="M23" s="4">
        <v>0</v>
      </c>
      <c r="N23" s="4">
        <v>8749.85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 t="str">
        <f t="shared" si="10"/>
        <v>0</v>
      </c>
      <c r="AA23" s="4" t="str">
        <f t="shared" si="11"/>
        <v>0</v>
      </c>
      <c r="AB23" s="4" t="str">
        <f t="shared" si="2"/>
        <v>人民币</v>
      </c>
      <c r="AC23" s="4" t="str">
        <f t="shared" si="3"/>
        <v>A368402599</v>
      </c>
    </row>
    <row r="24" spans="1:29">
      <c r="A24" s="4" t="str">
        <f>"20211108"</f>
        <v>20211108</v>
      </c>
      <c r="B24" s="4" t="str">
        <f>"20211108"</f>
        <v>20211108</v>
      </c>
      <c r="C24" s="4" t="str">
        <f t="shared" si="7"/>
        <v>0</v>
      </c>
      <c r="D24" s="4" t="str">
        <f t="shared" si="8"/>
        <v>00:00:00</v>
      </c>
      <c r="E24" s="4" t="str">
        <f t="shared" si="9"/>
        <v>港股通组合费</v>
      </c>
      <c r="H24" s="4">
        <v>0</v>
      </c>
      <c r="I24" s="4">
        <v>0</v>
      </c>
      <c r="J24" s="4">
        <v>0.15</v>
      </c>
      <c r="K24" s="4">
        <v>-0.15</v>
      </c>
      <c r="L24" s="4">
        <v>0</v>
      </c>
      <c r="M24" s="4">
        <v>0</v>
      </c>
      <c r="N24" s="4">
        <v>21444.45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 t="str">
        <f t="shared" si="10"/>
        <v>0</v>
      </c>
      <c r="AA24" s="4" t="str">
        <f t="shared" si="11"/>
        <v>0</v>
      </c>
      <c r="AB24" s="4" t="str">
        <f t="shared" si="2"/>
        <v>人民币</v>
      </c>
      <c r="AC24" s="4" t="str">
        <f t="shared" si="3"/>
        <v>A368402599</v>
      </c>
    </row>
    <row r="25" spans="1:29">
      <c r="A25" s="4" t="str">
        <f>"20211109"</f>
        <v>20211109</v>
      </c>
      <c r="B25" s="4" t="str">
        <f>"20211109"</f>
        <v>20211109</v>
      </c>
      <c r="C25" s="4" t="str">
        <f t="shared" si="7"/>
        <v>0</v>
      </c>
      <c r="D25" s="4" t="str">
        <f t="shared" si="8"/>
        <v>00:00:00</v>
      </c>
      <c r="E25" s="4" t="str">
        <f t="shared" si="9"/>
        <v>港股通组合费</v>
      </c>
      <c r="H25" s="4">
        <v>0</v>
      </c>
      <c r="I25" s="4">
        <v>0</v>
      </c>
      <c r="J25" s="4">
        <v>0.05</v>
      </c>
      <c r="K25" s="4">
        <v>-0.05</v>
      </c>
      <c r="L25" s="4">
        <v>0</v>
      </c>
      <c r="M25" s="4">
        <v>0</v>
      </c>
      <c r="N25" s="4">
        <v>20565.19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 t="str">
        <f t="shared" si="10"/>
        <v>0</v>
      </c>
      <c r="AA25" s="4" t="str">
        <f t="shared" si="11"/>
        <v>0</v>
      </c>
      <c r="AB25" s="4" t="str">
        <f t="shared" si="2"/>
        <v>人民币</v>
      </c>
      <c r="AC25" s="4" t="str">
        <f t="shared" si="3"/>
        <v>A368402599</v>
      </c>
    </row>
    <row r="26" spans="1:29">
      <c r="A26" s="4" t="str">
        <f>"20211110"</f>
        <v>20211110</v>
      </c>
      <c r="B26" s="4" t="str">
        <f>"20211110"</f>
        <v>20211110</v>
      </c>
      <c r="C26" s="4" t="str">
        <f t="shared" si="7"/>
        <v>0</v>
      </c>
      <c r="D26" s="4" t="str">
        <f t="shared" si="8"/>
        <v>00:00:00</v>
      </c>
      <c r="E26" s="4" t="str">
        <f t="shared" si="9"/>
        <v>港股通组合费</v>
      </c>
      <c r="H26" s="4">
        <v>0</v>
      </c>
      <c r="I26" s="4">
        <v>0</v>
      </c>
      <c r="J26" s="4">
        <v>0.05</v>
      </c>
      <c r="K26" s="4">
        <v>-0.05</v>
      </c>
      <c r="L26" s="4">
        <v>0</v>
      </c>
      <c r="M26" s="4">
        <v>0</v>
      </c>
      <c r="N26" s="4">
        <v>20565.19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 t="str">
        <f t="shared" si="10"/>
        <v>0</v>
      </c>
      <c r="AA26" s="4" t="str">
        <f t="shared" si="11"/>
        <v>0</v>
      </c>
      <c r="AB26" s="4" t="str">
        <f t="shared" si="2"/>
        <v>人民币</v>
      </c>
      <c r="AC26" s="4" t="str">
        <f t="shared" si="3"/>
        <v>A368402599</v>
      </c>
    </row>
    <row r="27" spans="1:29">
      <c r="A27" s="4" t="str">
        <f>"20211111"</f>
        <v>20211111</v>
      </c>
      <c r="B27" s="4" t="str">
        <f>"20211111"</f>
        <v>20211111</v>
      </c>
      <c r="C27" s="4" t="str">
        <f t="shared" si="7"/>
        <v>0</v>
      </c>
      <c r="D27" s="4" t="str">
        <f t="shared" si="8"/>
        <v>00:00:00</v>
      </c>
      <c r="E27" s="4" t="str">
        <f t="shared" si="9"/>
        <v>港股通组合费</v>
      </c>
      <c r="H27" s="4">
        <v>0</v>
      </c>
      <c r="I27" s="4">
        <v>0</v>
      </c>
      <c r="J27" s="4">
        <v>0.05</v>
      </c>
      <c r="K27" s="4">
        <v>-0.05</v>
      </c>
      <c r="L27" s="4">
        <v>0</v>
      </c>
      <c r="M27" s="4">
        <v>0</v>
      </c>
      <c r="N27" s="4">
        <v>20855.19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 t="str">
        <f t="shared" si="10"/>
        <v>0</v>
      </c>
      <c r="AA27" s="4" t="str">
        <f t="shared" si="11"/>
        <v>0</v>
      </c>
      <c r="AB27" s="4" t="str">
        <f t="shared" si="2"/>
        <v>人民币</v>
      </c>
      <c r="AC27" s="4" t="str">
        <f t="shared" si="3"/>
        <v>A368402599</v>
      </c>
    </row>
    <row r="28" spans="1:29">
      <c r="A28" s="4" t="str">
        <f>"20211112"</f>
        <v>20211112</v>
      </c>
      <c r="B28" s="4" t="str">
        <f>"20211112"</f>
        <v>20211112</v>
      </c>
      <c r="C28" s="4" t="str">
        <f t="shared" si="7"/>
        <v>0</v>
      </c>
      <c r="D28" s="4" t="str">
        <f t="shared" si="8"/>
        <v>00:00:00</v>
      </c>
      <c r="E28" s="4" t="str">
        <f t="shared" si="9"/>
        <v>港股通组合费</v>
      </c>
      <c r="H28" s="4">
        <v>0</v>
      </c>
      <c r="I28" s="4">
        <v>0</v>
      </c>
      <c r="J28" s="4">
        <v>0.05</v>
      </c>
      <c r="K28" s="4">
        <v>-0.05</v>
      </c>
      <c r="L28" s="4">
        <v>0</v>
      </c>
      <c r="M28" s="4">
        <v>0</v>
      </c>
      <c r="N28" s="4">
        <v>20855.19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 t="str">
        <f t="shared" si="10"/>
        <v>0</v>
      </c>
      <c r="AA28" s="4" t="str">
        <f t="shared" si="11"/>
        <v>0</v>
      </c>
      <c r="AB28" s="4" t="str">
        <f t="shared" si="2"/>
        <v>人民币</v>
      </c>
      <c r="AC28" s="4" t="str">
        <f t="shared" si="3"/>
        <v>A368402599</v>
      </c>
    </row>
    <row r="29" spans="1:29">
      <c r="A29" s="4" t="str">
        <f>"20211115"</f>
        <v>20211115</v>
      </c>
      <c r="B29" s="4" t="str">
        <f>"20211115"</f>
        <v>20211115</v>
      </c>
      <c r="C29" s="4" t="str">
        <f t="shared" si="7"/>
        <v>0</v>
      </c>
      <c r="D29" s="4" t="str">
        <f t="shared" si="8"/>
        <v>00:00:00</v>
      </c>
      <c r="E29" s="4" t="str">
        <f t="shared" si="9"/>
        <v>港股通组合费</v>
      </c>
      <c r="H29" s="4">
        <v>0</v>
      </c>
      <c r="I29" s="4">
        <v>0</v>
      </c>
      <c r="J29" s="4">
        <v>0.15</v>
      </c>
      <c r="K29" s="4">
        <v>-0.15</v>
      </c>
      <c r="L29" s="4">
        <v>0</v>
      </c>
      <c r="M29" s="4">
        <v>0</v>
      </c>
      <c r="N29" s="4">
        <v>20855.09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 t="str">
        <f t="shared" si="10"/>
        <v>0</v>
      </c>
      <c r="AA29" s="4" t="str">
        <f t="shared" si="11"/>
        <v>0</v>
      </c>
      <c r="AB29" s="4" t="str">
        <f t="shared" si="2"/>
        <v>人民币</v>
      </c>
      <c r="AC29" s="4" t="str">
        <f t="shared" si="3"/>
        <v>A368402599</v>
      </c>
    </row>
    <row r="30" spans="1:29">
      <c r="A30" s="4" t="str">
        <f>"20211116"</f>
        <v>20211116</v>
      </c>
      <c r="B30" s="4" t="str">
        <f>"20211116"</f>
        <v>20211116</v>
      </c>
      <c r="C30" s="4" t="str">
        <f t="shared" si="7"/>
        <v>0</v>
      </c>
      <c r="D30" s="4" t="str">
        <f t="shared" si="8"/>
        <v>00:00:00</v>
      </c>
      <c r="E30" s="4" t="str">
        <f t="shared" si="9"/>
        <v>港股通组合费</v>
      </c>
      <c r="H30" s="4">
        <v>0</v>
      </c>
      <c r="I30" s="4">
        <v>0</v>
      </c>
      <c r="J30" s="4">
        <v>0.05</v>
      </c>
      <c r="K30" s="4">
        <v>-0.05</v>
      </c>
      <c r="L30" s="4">
        <v>0</v>
      </c>
      <c r="M30" s="4">
        <v>0</v>
      </c>
      <c r="N30" s="4">
        <v>20982.08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 t="str">
        <f t="shared" si="10"/>
        <v>0</v>
      </c>
      <c r="AA30" s="4" t="str">
        <f t="shared" si="11"/>
        <v>0</v>
      </c>
      <c r="AB30" s="4" t="str">
        <f t="shared" si="2"/>
        <v>人民币</v>
      </c>
      <c r="AC30" s="4" t="str">
        <f t="shared" si="3"/>
        <v>A368402599</v>
      </c>
    </row>
    <row r="31" spans="1:29">
      <c r="A31" s="4" t="str">
        <f>"20211117"</f>
        <v>20211117</v>
      </c>
      <c r="B31" s="4" t="str">
        <f>"20211117"</f>
        <v>20211117</v>
      </c>
      <c r="C31" s="4" t="str">
        <f t="shared" si="7"/>
        <v>0</v>
      </c>
      <c r="D31" s="4" t="str">
        <f t="shared" si="8"/>
        <v>00:00:00</v>
      </c>
      <c r="E31" s="4" t="str">
        <f t="shared" si="9"/>
        <v>港股通组合费</v>
      </c>
      <c r="H31" s="4">
        <v>0</v>
      </c>
      <c r="I31" s="4">
        <v>0</v>
      </c>
      <c r="J31" s="4">
        <v>0.05</v>
      </c>
      <c r="K31" s="4">
        <v>-0.05</v>
      </c>
      <c r="L31" s="4">
        <v>0</v>
      </c>
      <c r="M31" s="4">
        <v>0</v>
      </c>
      <c r="N31" s="4">
        <v>20982.03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 t="str">
        <f t="shared" si="10"/>
        <v>0</v>
      </c>
      <c r="AA31" s="4" t="str">
        <f t="shared" si="11"/>
        <v>0</v>
      </c>
      <c r="AB31" s="4" t="str">
        <f t="shared" si="2"/>
        <v>人民币</v>
      </c>
      <c r="AC31" s="4" t="str">
        <f t="shared" si="3"/>
        <v>A368402599</v>
      </c>
    </row>
    <row r="32" spans="1:29">
      <c r="A32" s="4" t="str">
        <f>"20211118"</f>
        <v>20211118</v>
      </c>
      <c r="B32" s="4" t="str">
        <f>"20211118"</f>
        <v>20211118</v>
      </c>
      <c r="C32" s="4" t="str">
        <f t="shared" si="7"/>
        <v>0</v>
      </c>
      <c r="D32" s="4" t="str">
        <f t="shared" si="8"/>
        <v>00:00:00</v>
      </c>
      <c r="E32" s="4" t="str">
        <f t="shared" si="9"/>
        <v>港股通组合费</v>
      </c>
      <c r="H32" s="4">
        <v>0</v>
      </c>
      <c r="I32" s="4">
        <v>0</v>
      </c>
      <c r="J32" s="4">
        <v>0.05</v>
      </c>
      <c r="K32" s="4">
        <v>-0.05</v>
      </c>
      <c r="L32" s="4">
        <v>0</v>
      </c>
      <c r="M32" s="4">
        <v>0</v>
      </c>
      <c r="N32" s="4">
        <v>20981.98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 t="str">
        <f t="shared" si="10"/>
        <v>0</v>
      </c>
      <c r="AA32" s="4" t="str">
        <f t="shared" si="11"/>
        <v>0</v>
      </c>
      <c r="AB32" s="4" t="str">
        <f t="shared" si="2"/>
        <v>人民币</v>
      </c>
      <c r="AC32" s="4" t="str">
        <f t="shared" si="3"/>
        <v>A368402599</v>
      </c>
    </row>
    <row r="33" spans="1:29">
      <c r="A33" s="4" t="str">
        <f>"20211119"</f>
        <v>20211119</v>
      </c>
      <c r="B33" s="4" t="str">
        <f>"20211119"</f>
        <v>20211119</v>
      </c>
      <c r="C33" s="4" t="str">
        <f t="shared" si="7"/>
        <v>0</v>
      </c>
      <c r="D33" s="4" t="str">
        <f t="shared" si="8"/>
        <v>00:00:00</v>
      </c>
      <c r="E33" s="4" t="str">
        <f t="shared" si="9"/>
        <v>港股通组合费</v>
      </c>
      <c r="H33" s="4">
        <v>0</v>
      </c>
      <c r="I33" s="4">
        <v>0</v>
      </c>
      <c r="J33" s="4">
        <v>0.05</v>
      </c>
      <c r="K33" s="4">
        <v>-0.05</v>
      </c>
      <c r="L33" s="4">
        <v>0</v>
      </c>
      <c r="M33" s="4">
        <v>0</v>
      </c>
      <c r="N33" s="4">
        <v>21005.2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 t="str">
        <f t="shared" si="10"/>
        <v>0</v>
      </c>
      <c r="AA33" s="4" t="str">
        <f t="shared" si="11"/>
        <v>0</v>
      </c>
      <c r="AB33" s="4" t="str">
        <f t="shared" si="2"/>
        <v>人民币</v>
      </c>
      <c r="AC33" s="4" t="str">
        <f t="shared" si="3"/>
        <v>A368402599</v>
      </c>
    </row>
    <row r="34" spans="1:29">
      <c r="A34" s="4" t="str">
        <f>"20211122"</f>
        <v>20211122</v>
      </c>
      <c r="B34" s="4" t="str">
        <f>"20211122"</f>
        <v>20211122</v>
      </c>
      <c r="C34" s="4" t="str">
        <f t="shared" si="7"/>
        <v>0</v>
      </c>
      <c r="D34" s="4" t="str">
        <f t="shared" si="8"/>
        <v>00:00:00</v>
      </c>
      <c r="E34" s="4" t="str">
        <f t="shared" si="9"/>
        <v>港股通组合费</v>
      </c>
      <c r="H34" s="4">
        <v>0</v>
      </c>
      <c r="I34" s="4">
        <v>0</v>
      </c>
      <c r="J34" s="4">
        <v>0.15</v>
      </c>
      <c r="K34" s="4">
        <v>-0.15</v>
      </c>
      <c r="L34" s="4">
        <v>0</v>
      </c>
      <c r="M34" s="4">
        <v>0</v>
      </c>
      <c r="N34" s="4">
        <v>21005.1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 t="str">
        <f t="shared" si="10"/>
        <v>0</v>
      </c>
      <c r="AA34" s="4" t="str">
        <f t="shared" si="11"/>
        <v>0</v>
      </c>
      <c r="AB34" s="4" t="str">
        <f t="shared" si="2"/>
        <v>人民币</v>
      </c>
      <c r="AC34" s="4" t="str">
        <f t="shared" si="3"/>
        <v>A368402599</v>
      </c>
    </row>
    <row r="35" spans="1:29">
      <c r="A35" s="4" t="str">
        <f>"20211123"</f>
        <v>20211123</v>
      </c>
      <c r="B35" s="4" t="str">
        <f>"20211123"</f>
        <v>20211123</v>
      </c>
      <c r="C35" s="4" t="str">
        <f t="shared" si="7"/>
        <v>0</v>
      </c>
      <c r="D35" s="4" t="str">
        <f t="shared" si="8"/>
        <v>00:00:00</v>
      </c>
      <c r="E35" s="4" t="str">
        <f t="shared" si="9"/>
        <v>港股通组合费</v>
      </c>
      <c r="H35" s="4">
        <v>0</v>
      </c>
      <c r="I35" s="4">
        <v>0</v>
      </c>
      <c r="J35" s="4">
        <v>0.05</v>
      </c>
      <c r="K35" s="4">
        <v>-0.05</v>
      </c>
      <c r="L35" s="4">
        <v>0</v>
      </c>
      <c r="M35" s="4">
        <v>0</v>
      </c>
      <c r="N35" s="4">
        <v>21005.2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 t="str">
        <f t="shared" si="10"/>
        <v>0</v>
      </c>
      <c r="AA35" s="4" t="str">
        <f t="shared" si="11"/>
        <v>0</v>
      </c>
      <c r="AB35" s="4" t="str">
        <f t="shared" si="2"/>
        <v>人民币</v>
      </c>
      <c r="AC35" s="4" t="str">
        <f t="shared" si="3"/>
        <v>A368402599</v>
      </c>
    </row>
    <row r="36" spans="1:29">
      <c r="A36" s="4" t="str">
        <f>"20211124"</f>
        <v>20211124</v>
      </c>
      <c r="B36" s="4" t="str">
        <f>"20211124"</f>
        <v>20211124</v>
      </c>
      <c r="C36" s="4" t="str">
        <f t="shared" si="7"/>
        <v>0</v>
      </c>
      <c r="D36" s="4" t="str">
        <f t="shared" si="8"/>
        <v>00:00:00</v>
      </c>
      <c r="E36" s="4" t="str">
        <f t="shared" si="9"/>
        <v>港股通组合费</v>
      </c>
      <c r="H36" s="4">
        <v>0</v>
      </c>
      <c r="I36" s="4">
        <v>0</v>
      </c>
      <c r="J36" s="4">
        <v>0.05</v>
      </c>
      <c r="K36" s="4">
        <v>-0.05</v>
      </c>
      <c r="L36" s="4">
        <v>0</v>
      </c>
      <c r="M36" s="4">
        <v>0</v>
      </c>
      <c r="N36" s="4">
        <v>21005.19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 t="str">
        <f t="shared" si="10"/>
        <v>0</v>
      </c>
      <c r="AA36" s="4" t="str">
        <f t="shared" si="11"/>
        <v>0</v>
      </c>
      <c r="AB36" s="4" t="str">
        <f t="shared" si="2"/>
        <v>人民币</v>
      </c>
      <c r="AC36" s="4" t="str">
        <f t="shared" si="3"/>
        <v>A368402599</v>
      </c>
    </row>
    <row r="37" spans="1:29">
      <c r="A37" s="4" t="str">
        <f>"20211125"</f>
        <v>20211125</v>
      </c>
      <c r="B37" s="4" t="str">
        <f>"20211125"</f>
        <v>20211125</v>
      </c>
      <c r="C37" s="4" t="str">
        <f t="shared" si="7"/>
        <v>0</v>
      </c>
      <c r="D37" s="4" t="str">
        <f t="shared" si="8"/>
        <v>00:00:00</v>
      </c>
      <c r="E37" s="4" t="str">
        <f t="shared" si="9"/>
        <v>港股通组合费</v>
      </c>
      <c r="H37" s="4">
        <v>0</v>
      </c>
      <c r="I37" s="4">
        <v>0</v>
      </c>
      <c r="J37" s="4">
        <v>0.05</v>
      </c>
      <c r="K37" s="4">
        <v>-0.05</v>
      </c>
      <c r="L37" s="4">
        <v>0</v>
      </c>
      <c r="M37" s="4">
        <v>0</v>
      </c>
      <c r="N37" s="4">
        <v>21005.2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 t="str">
        <f t="shared" si="10"/>
        <v>0</v>
      </c>
      <c r="AA37" s="4" t="str">
        <f t="shared" si="11"/>
        <v>0</v>
      </c>
      <c r="AB37" s="4" t="str">
        <f t="shared" si="2"/>
        <v>人民币</v>
      </c>
      <c r="AC37" s="4" t="str">
        <f t="shared" si="3"/>
        <v>A368402599</v>
      </c>
    </row>
    <row r="38" spans="1:29">
      <c r="A38" s="4" t="str">
        <f>"20211126"</f>
        <v>20211126</v>
      </c>
      <c r="B38" s="4" t="str">
        <f>"20211126"</f>
        <v>20211126</v>
      </c>
      <c r="C38" s="4" t="str">
        <f t="shared" si="7"/>
        <v>0</v>
      </c>
      <c r="D38" s="4" t="str">
        <f t="shared" si="8"/>
        <v>00:00:00</v>
      </c>
      <c r="E38" s="4" t="str">
        <f t="shared" si="9"/>
        <v>港股通组合费</v>
      </c>
      <c r="H38" s="4">
        <v>0</v>
      </c>
      <c r="I38" s="4">
        <v>0</v>
      </c>
      <c r="J38" s="4">
        <v>0.05</v>
      </c>
      <c r="K38" s="4">
        <v>-0.05</v>
      </c>
      <c r="L38" s="4">
        <v>0</v>
      </c>
      <c r="M38" s="4">
        <v>0</v>
      </c>
      <c r="N38" s="4">
        <v>20855.2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 t="str">
        <f t="shared" si="10"/>
        <v>0</v>
      </c>
      <c r="AA38" s="4" t="str">
        <f t="shared" si="11"/>
        <v>0</v>
      </c>
      <c r="AB38" s="4" t="str">
        <f t="shared" si="2"/>
        <v>人民币</v>
      </c>
      <c r="AC38" s="4" t="str">
        <f t="shared" si="3"/>
        <v>A368402599</v>
      </c>
    </row>
    <row r="39" spans="1:29">
      <c r="A39" s="4" t="str">
        <f>"20211129"</f>
        <v>20211129</v>
      </c>
      <c r="B39" s="4" t="str">
        <f>"20211129"</f>
        <v>20211129</v>
      </c>
      <c r="C39" s="4" t="str">
        <f t="shared" si="7"/>
        <v>0</v>
      </c>
      <c r="D39" s="4" t="str">
        <f t="shared" si="8"/>
        <v>00:00:00</v>
      </c>
      <c r="E39" s="4" t="str">
        <f t="shared" si="9"/>
        <v>港股通组合费</v>
      </c>
      <c r="H39" s="4">
        <v>0</v>
      </c>
      <c r="I39" s="4">
        <v>0</v>
      </c>
      <c r="J39" s="4">
        <v>0.15</v>
      </c>
      <c r="K39" s="4">
        <v>-0.15</v>
      </c>
      <c r="L39" s="4">
        <v>0</v>
      </c>
      <c r="M39" s="4">
        <v>0</v>
      </c>
      <c r="N39" s="4">
        <v>20615.09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 t="str">
        <f t="shared" si="10"/>
        <v>0</v>
      </c>
      <c r="AA39" s="4" t="str">
        <f t="shared" si="11"/>
        <v>0</v>
      </c>
      <c r="AB39" s="4" t="str">
        <f t="shared" si="2"/>
        <v>人民币</v>
      </c>
      <c r="AC39" s="4" t="str">
        <f t="shared" si="3"/>
        <v>A368402599</v>
      </c>
    </row>
    <row r="40" spans="1:29">
      <c r="A40" s="4" t="str">
        <f>"20211130"</f>
        <v>20211130</v>
      </c>
      <c r="B40" s="4" t="str">
        <f>"20211130"</f>
        <v>20211130</v>
      </c>
      <c r="C40" s="4" t="str">
        <f t="shared" si="7"/>
        <v>0</v>
      </c>
      <c r="D40" s="4" t="str">
        <f t="shared" si="8"/>
        <v>00:00:00</v>
      </c>
      <c r="E40" s="4" t="str">
        <f t="shared" si="9"/>
        <v>港股通组合费</v>
      </c>
      <c r="H40" s="4">
        <v>0</v>
      </c>
      <c r="I40" s="4">
        <v>0</v>
      </c>
      <c r="J40" s="4">
        <v>0.04</v>
      </c>
      <c r="K40" s="4">
        <v>-0.04</v>
      </c>
      <c r="L40" s="4">
        <v>0</v>
      </c>
      <c r="M40" s="4">
        <v>0</v>
      </c>
      <c r="N40" s="4">
        <v>20682.36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 t="str">
        <f t="shared" si="10"/>
        <v>0</v>
      </c>
      <c r="AA40" s="4" t="str">
        <f t="shared" si="11"/>
        <v>0</v>
      </c>
      <c r="AB40" s="4" t="str">
        <f t="shared" si="2"/>
        <v>人民币</v>
      </c>
      <c r="AC40" s="4" t="str">
        <f t="shared" si="3"/>
        <v>A368402599</v>
      </c>
    </row>
    <row r="41" spans="1:29">
      <c r="A41" s="4" t="str">
        <f>"20211201"</f>
        <v>20211201</v>
      </c>
      <c r="B41" s="4" t="str">
        <f>"20211201"</f>
        <v>20211201</v>
      </c>
      <c r="C41" s="4" t="str">
        <f t="shared" si="7"/>
        <v>0</v>
      </c>
      <c r="D41" s="4" t="str">
        <f t="shared" si="8"/>
        <v>00:00:00</v>
      </c>
      <c r="E41" s="4" t="str">
        <f t="shared" si="9"/>
        <v>港股通组合费</v>
      </c>
      <c r="H41" s="4">
        <v>0</v>
      </c>
      <c r="I41" s="4">
        <v>0</v>
      </c>
      <c r="J41" s="4">
        <v>0.04</v>
      </c>
      <c r="K41" s="4">
        <v>-0.04</v>
      </c>
      <c r="L41" s="4">
        <v>0</v>
      </c>
      <c r="M41" s="4">
        <v>0</v>
      </c>
      <c r="N41" s="4">
        <v>20975.21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 t="str">
        <f t="shared" si="10"/>
        <v>0</v>
      </c>
      <c r="AA41" s="4" t="str">
        <f t="shared" si="11"/>
        <v>0</v>
      </c>
      <c r="AB41" s="4" t="str">
        <f t="shared" si="2"/>
        <v>人民币</v>
      </c>
      <c r="AC41" s="4" t="str">
        <f t="shared" si="3"/>
        <v>A368402599</v>
      </c>
    </row>
    <row r="42" spans="1:29">
      <c r="A42" s="4" t="str">
        <f>"20211202"</f>
        <v>20211202</v>
      </c>
      <c r="B42" s="4" t="str">
        <f>"20211202"</f>
        <v>20211202</v>
      </c>
      <c r="C42" s="4" t="str">
        <f t="shared" si="7"/>
        <v>0</v>
      </c>
      <c r="D42" s="4" t="str">
        <f t="shared" si="8"/>
        <v>00:00:00</v>
      </c>
      <c r="E42" s="4" t="str">
        <f t="shared" si="9"/>
        <v>港股通组合费</v>
      </c>
      <c r="H42" s="4">
        <v>0</v>
      </c>
      <c r="I42" s="4">
        <v>0</v>
      </c>
      <c r="J42" s="4">
        <v>0.04</v>
      </c>
      <c r="K42" s="4">
        <v>-0.04</v>
      </c>
      <c r="L42" s="4">
        <v>0</v>
      </c>
      <c r="M42" s="4">
        <v>0</v>
      </c>
      <c r="N42" s="4">
        <v>20975.21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 t="str">
        <f t="shared" si="10"/>
        <v>0</v>
      </c>
      <c r="AA42" s="4" t="str">
        <f t="shared" si="11"/>
        <v>0</v>
      </c>
      <c r="AB42" s="4" t="str">
        <f t="shared" si="2"/>
        <v>人民币</v>
      </c>
      <c r="AC42" s="4" t="str">
        <f t="shared" si="3"/>
        <v>A368402599</v>
      </c>
    </row>
    <row r="43" spans="1:29">
      <c r="A43" s="4" t="str">
        <f>"20211203"</f>
        <v>20211203</v>
      </c>
      <c r="B43" s="4" t="str">
        <f>"20211203"</f>
        <v>20211203</v>
      </c>
      <c r="C43" s="4" t="str">
        <f t="shared" si="7"/>
        <v>0</v>
      </c>
      <c r="D43" s="4" t="str">
        <f t="shared" si="8"/>
        <v>00:00:00</v>
      </c>
      <c r="E43" s="4" t="str">
        <f t="shared" si="9"/>
        <v>港股通组合费</v>
      </c>
      <c r="H43" s="4">
        <v>0</v>
      </c>
      <c r="I43" s="4">
        <v>0</v>
      </c>
      <c r="J43" s="4">
        <v>0.04</v>
      </c>
      <c r="K43" s="4">
        <v>-0.04</v>
      </c>
      <c r="L43" s="4">
        <v>0</v>
      </c>
      <c r="M43" s="4">
        <v>0</v>
      </c>
      <c r="N43" s="4">
        <v>20975.21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 t="str">
        <f t="shared" si="10"/>
        <v>0</v>
      </c>
      <c r="AA43" s="4" t="str">
        <f t="shared" si="11"/>
        <v>0</v>
      </c>
      <c r="AB43" s="4" t="str">
        <f t="shared" si="2"/>
        <v>人民币</v>
      </c>
      <c r="AC43" s="4" t="str">
        <f t="shared" si="3"/>
        <v>A368402599</v>
      </c>
    </row>
    <row r="44" spans="1:29">
      <c r="A44" s="4" t="str">
        <f>"20211206"</f>
        <v>20211206</v>
      </c>
      <c r="B44" s="4" t="str">
        <f>"20211206"</f>
        <v>20211206</v>
      </c>
      <c r="C44" s="4" t="str">
        <f t="shared" si="7"/>
        <v>0</v>
      </c>
      <c r="D44" s="4" t="str">
        <f t="shared" si="8"/>
        <v>00:00:00</v>
      </c>
      <c r="E44" s="4" t="str">
        <f t="shared" si="9"/>
        <v>港股通组合费</v>
      </c>
      <c r="H44" s="4">
        <v>0</v>
      </c>
      <c r="I44" s="4">
        <v>0</v>
      </c>
      <c r="J44" s="4">
        <v>0.15</v>
      </c>
      <c r="K44" s="4">
        <v>-0.15</v>
      </c>
      <c r="L44" s="4">
        <v>0</v>
      </c>
      <c r="M44" s="4">
        <v>0</v>
      </c>
      <c r="N44" s="4">
        <v>20835.1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 t="str">
        <f t="shared" si="10"/>
        <v>0</v>
      </c>
      <c r="AA44" s="4" t="str">
        <f t="shared" si="11"/>
        <v>0</v>
      </c>
      <c r="AB44" s="4" t="str">
        <f t="shared" si="2"/>
        <v>人民币</v>
      </c>
      <c r="AC44" s="4" t="str">
        <f t="shared" si="3"/>
        <v>A368402599</v>
      </c>
    </row>
    <row r="45" spans="1:29">
      <c r="A45" s="4" t="str">
        <f>"20211207"</f>
        <v>20211207</v>
      </c>
      <c r="B45" s="4" t="str">
        <f>"20211207"</f>
        <v>20211207</v>
      </c>
      <c r="C45" s="4" t="str">
        <f t="shared" si="7"/>
        <v>0</v>
      </c>
      <c r="D45" s="4" t="str">
        <f t="shared" si="8"/>
        <v>00:00:00</v>
      </c>
      <c r="E45" s="4" t="str">
        <f t="shared" si="9"/>
        <v>港股通组合费</v>
      </c>
      <c r="H45" s="4">
        <v>0</v>
      </c>
      <c r="I45" s="4">
        <v>0</v>
      </c>
      <c r="J45" s="4">
        <v>0.05</v>
      </c>
      <c r="K45" s="4">
        <v>-0.05</v>
      </c>
      <c r="L45" s="4">
        <v>0</v>
      </c>
      <c r="M45" s="4">
        <v>0</v>
      </c>
      <c r="N45" s="4">
        <v>20695.2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 t="str">
        <f t="shared" si="10"/>
        <v>0</v>
      </c>
      <c r="AA45" s="4" t="str">
        <f t="shared" si="11"/>
        <v>0</v>
      </c>
      <c r="AB45" s="4" t="str">
        <f t="shared" si="2"/>
        <v>人民币</v>
      </c>
      <c r="AC45" s="4" t="str">
        <f t="shared" si="3"/>
        <v>A368402599</v>
      </c>
    </row>
    <row r="46" spans="1:29">
      <c r="A46" s="4" t="str">
        <f>"20211208"</f>
        <v>20211208</v>
      </c>
      <c r="B46" s="4" t="str">
        <f>"20211208"</f>
        <v>20211208</v>
      </c>
      <c r="C46" s="4" t="str">
        <f t="shared" si="7"/>
        <v>0</v>
      </c>
      <c r="D46" s="4" t="str">
        <f t="shared" si="8"/>
        <v>00:00:00</v>
      </c>
      <c r="E46" s="4" t="str">
        <f t="shared" si="9"/>
        <v>港股通组合费</v>
      </c>
      <c r="H46" s="4">
        <v>0</v>
      </c>
      <c r="I46" s="4">
        <v>0</v>
      </c>
      <c r="J46" s="4">
        <v>0.05</v>
      </c>
      <c r="K46" s="4">
        <v>-0.05</v>
      </c>
      <c r="L46" s="4">
        <v>0</v>
      </c>
      <c r="M46" s="4">
        <v>0</v>
      </c>
      <c r="N46" s="4">
        <v>20835.2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 t="str">
        <f t="shared" si="10"/>
        <v>0</v>
      </c>
      <c r="AA46" s="4" t="str">
        <f t="shared" si="11"/>
        <v>0</v>
      </c>
      <c r="AB46" s="4" t="str">
        <f t="shared" si="2"/>
        <v>人民币</v>
      </c>
      <c r="AC46" s="4" t="str">
        <f t="shared" si="3"/>
        <v>A368402599</v>
      </c>
    </row>
    <row r="47" spans="1:29">
      <c r="A47" s="4" t="str">
        <f>"20211209"</f>
        <v>20211209</v>
      </c>
      <c r="B47" s="4" t="str">
        <f>"20211209"</f>
        <v>20211209</v>
      </c>
      <c r="C47" s="4" t="str">
        <f t="shared" si="7"/>
        <v>0</v>
      </c>
      <c r="D47" s="4" t="str">
        <f t="shared" si="8"/>
        <v>00:00:00</v>
      </c>
      <c r="E47" s="4" t="str">
        <f t="shared" si="9"/>
        <v>港股通组合费</v>
      </c>
      <c r="H47" s="4">
        <v>0</v>
      </c>
      <c r="I47" s="4">
        <v>0</v>
      </c>
      <c r="J47" s="4">
        <v>0.05</v>
      </c>
      <c r="K47" s="4">
        <v>-0.05</v>
      </c>
      <c r="L47" s="4">
        <v>0</v>
      </c>
      <c r="M47" s="4">
        <v>0</v>
      </c>
      <c r="N47" s="4">
        <v>24451.2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 t="str">
        <f t="shared" si="10"/>
        <v>0</v>
      </c>
      <c r="AA47" s="4" t="str">
        <f t="shared" si="11"/>
        <v>0</v>
      </c>
      <c r="AB47" s="4" t="str">
        <f t="shared" si="2"/>
        <v>人民币</v>
      </c>
      <c r="AC47" s="4" t="str">
        <f t="shared" si="3"/>
        <v>A368402599</v>
      </c>
    </row>
    <row r="48" spans="1:29">
      <c r="A48" s="4" t="str">
        <f>"20211210"</f>
        <v>20211210</v>
      </c>
      <c r="B48" s="4" t="str">
        <f>"20211210"</f>
        <v>20211210</v>
      </c>
      <c r="C48" s="4" t="str">
        <f t="shared" si="7"/>
        <v>0</v>
      </c>
      <c r="D48" s="4" t="str">
        <f t="shared" si="8"/>
        <v>00:00:00</v>
      </c>
      <c r="E48" s="4" t="str">
        <f t="shared" si="9"/>
        <v>港股通组合费</v>
      </c>
      <c r="H48" s="4">
        <v>0</v>
      </c>
      <c r="I48" s="4">
        <v>0</v>
      </c>
      <c r="J48" s="4">
        <v>0.05</v>
      </c>
      <c r="K48" s="4">
        <v>-0.05</v>
      </c>
      <c r="L48" s="4">
        <v>0</v>
      </c>
      <c r="M48" s="4">
        <v>0</v>
      </c>
      <c r="N48" s="4">
        <v>24451.2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 t="str">
        <f t="shared" si="10"/>
        <v>0</v>
      </c>
      <c r="AA48" s="4" t="str">
        <f t="shared" si="11"/>
        <v>0</v>
      </c>
      <c r="AB48" s="4" t="str">
        <f t="shared" si="2"/>
        <v>人民币</v>
      </c>
      <c r="AC48" s="4" t="str">
        <f t="shared" si="3"/>
        <v>A368402599</v>
      </c>
    </row>
    <row r="49" spans="1:29">
      <c r="A49" s="4" t="str">
        <f>"20211213"</f>
        <v>20211213</v>
      </c>
      <c r="B49" s="4" t="str">
        <f>"20211213"</f>
        <v>20211213</v>
      </c>
      <c r="C49" s="4" t="str">
        <f t="shared" si="7"/>
        <v>0</v>
      </c>
      <c r="D49" s="4" t="str">
        <f t="shared" si="8"/>
        <v>00:00:00</v>
      </c>
      <c r="E49" s="4" t="str">
        <f t="shared" si="9"/>
        <v>港股通组合费</v>
      </c>
      <c r="H49" s="4">
        <v>0</v>
      </c>
      <c r="I49" s="4">
        <v>0</v>
      </c>
      <c r="J49" s="4">
        <v>0.15</v>
      </c>
      <c r="K49" s="4">
        <v>-0.15</v>
      </c>
      <c r="L49" s="4">
        <v>0</v>
      </c>
      <c r="M49" s="4">
        <v>0</v>
      </c>
      <c r="N49" s="4">
        <v>4.85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 t="str">
        <f t="shared" si="10"/>
        <v>0</v>
      </c>
      <c r="AA49" s="4" t="str">
        <f t="shared" si="11"/>
        <v>0</v>
      </c>
      <c r="AB49" s="4" t="str">
        <f t="shared" si="2"/>
        <v>人民币</v>
      </c>
      <c r="AC49" s="4" t="str">
        <f t="shared" si="3"/>
        <v>A368402599</v>
      </c>
    </row>
    <row r="50" spans="1:29">
      <c r="A50" s="4" t="str">
        <f>"20211214"</f>
        <v>20211214</v>
      </c>
      <c r="B50" s="4" t="str">
        <f>"20211214"</f>
        <v>20211214</v>
      </c>
      <c r="C50" s="4" t="str">
        <f t="shared" si="7"/>
        <v>0</v>
      </c>
      <c r="D50" s="4" t="str">
        <f t="shared" si="8"/>
        <v>00:00:00</v>
      </c>
      <c r="E50" s="4" t="str">
        <f t="shared" si="9"/>
        <v>港股通组合费</v>
      </c>
      <c r="H50" s="4">
        <v>0</v>
      </c>
      <c r="I50" s="4">
        <v>0</v>
      </c>
      <c r="J50" s="4">
        <v>0.05</v>
      </c>
      <c r="K50" s="4">
        <v>-0.05</v>
      </c>
      <c r="L50" s="4">
        <v>0</v>
      </c>
      <c r="M50" s="4">
        <v>0</v>
      </c>
      <c r="N50" s="4">
        <v>4.95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 t="str">
        <f t="shared" si="10"/>
        <v>0</v>
      </c>
      <c r="AA50" s="4" t="str">
        <f t="shared" si="11"/>
        <v>0</v>
      </c>
      <c r="AB50" s="4" t="str">
        <f t="shared" si="2"/>
        <v>人民币</v>
      </c>
      <c r="AC50" s="4" t="str">
        <f t="shared" si="3"/>
        <v>A368402599</v>
      </c>
    </row>
    <row r="51" spans="1:29">
      <c r="A51" s="4" t="str">
        <f>"20211215"</f>
        <v>20211215</v>
      </c>
      <c r="B51" s="4" t="str">
        <f>"20211215"</f>
        <v>20211215</v>
      </c>
      <c r="C51" s="4" t="str">
        <f t="shared" si="7"/>
        <v>0</v>
      </c>
      <c r="D51" s="4" t="str">
        <f t="shared" si="8"/>
        <v>00:00:00</v>
      </c>
      <c r="E51" s="4" t="str">
        <f t="shared" si="9"/>
        <v>港股通组合费</v>
      </c>
      <c r="H51" s="4">
        <v>0</v>
      </c>
      <c r="I51" s="4">
        <v>0</v>
      </c>
      <c r="J51" s="4">
        <v>0.05</v>
      </c>
      <c r="K51" s="4">
        <v>-0.05</v>
      </c>
      <c r="L51" s="4">
        <v>0</v>
      </c>
      <c r="M51" s="4">
        <v>0</v>
      </c>
      <c r="N51" s="4">
        <v>4.95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 t="str">
        <f t="shared" si="10"/>
        <v>0</v>
      </c>
      <c r="AA51" s="4" t="str">
        <f t="shared" si="11"/>
        <v>0</v>
      </c>
      <c r="AB51" s="4" t="str">
        <f t="shared" si="2"/>
        <v>人民币</v>
      </c>
      <c r="AC51" s="4" t="str">
        <f t="shared" si="3"/>
        <v>A368402599</v>
      </c>
    </row>
    <row r="52" spans="1:29">
      <c r="A52" s="4" t="str">
        <f>"20211216"</f>
        <v>20211216</v>
      </c>
      <c r="B52" s="4" t="str">
        <f>"20211216"</f>
        <v>20211216</v>
      </c>
      <c r="C52" s="4" t="str">
        <f t="shared" si="7"/>
        <v>0</v>
      </c>
      <c r="D52" s="4" t="str">
        <f t="shared" si="8"/>
        <v>00:00:00</v>
      </c>
      <c r="E52" s="4" t="str">
        <f t="shared" si="9"/>
        <v>港股通组合费</v>
      </c>
      <c r="H52" s="4">
        <v>0</v>
      </c>
      <c r="I52" s="4">
        <v>0</v>
      </c>
      <c r="J52" s="4">
        <v>0.05</v>
      </c>
      <c r="K52" s="4">
        <v>-0.05</v>
      </c>
      <c r="L52" s="4">
        <v>0</v>
      </c>
      <c r="M52" s="4">
        <v>0</v>
      </c>
      <c r="N52" s="4">
        <v>4.95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 t="str">
        <f t="shared" si="10"/>
        <v>0</v>
      </c>
      <c r="AA52" s="4" t="str">
        <f t="shared" si="11"/>
        <v>0</v>
      </c>
      <c r="AB52" s="4" t="str">
        <f t="shared" si="2"/>
        <v>人民币</v>
      </c>
      <c r="AC52" s="4" t="str">
        <f t="shared" si="3"/>
        <v>A368402599</v>
      </c>
    </row>
    <row r="53" spans="1:29">
      <c r="A53" s="4" t="str">
        <f>"20211217"</f>
        <v>20211217</v>
      </c>
      <c r="B53" s="4" t="str">
        <f>"20211217"</f>
        <v>20211217</v>
      </c>
      <c r="C53" s="4" t="str">
        <f t="shared" si="7"/>
        <v>0</v>
      </c>
      <c r="D53" s="4" t="str">
        <f t="shared" si="8"/>
        <v>00:00:00</v>
      </c>
      <c r="E53" s="4" t="str">
        <f t="shared" si="9"/>
        <v>港股通组合费</v>
      </c>
      <c r="H53" s="4">
        <v>0</v>
      </c>
      <c r="I53" s="4">
        <v>0</v>
      </c>
      <c r="J53" s="4">
        <v>0.05</v>
      </c>
      <c r="K53" s="4">
        <v>-0.05</v>
      </c>
      <c r="L53" s="4">
        <v>0</v>
      </c>
      <c r="M53" s="4">
        <v>0</v>
      </c>
      <c r="N53" s="4">
        <v>4.95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 t="str">
        <f t="shared" si="10"/>
        <v>0</v>
      </c>
      <c r="AA53" s="4" t="str">
        <f t="shared" si="11"/>
        <v>0</v>
      </c>
      <c r="AB53" s="4" t="str">
        <f t="shared" si="2"/>
        <v>人民币</v>
      </c>
      <c r="AC53" s="4" t="str">
        <f t="shared" si="3"/>
        <v>A368402599</v>
      </c>
    </row>
    <row r="54" spans="1:29">
      <c r="A54" s="4" t="str">
        <f>"20211220"</f>
        <v>20211220</v>
      </c>
      <c r="B54" s="4" t="str">
        <f>"20211220"</f>
        <v>20211220</v>
      </c>
      <c r="C54" s="4" t="str">
        <f t="shared" si="7"/>
        <v>0</v>
      </c>
      <c r="D54" s="4" t="str">
        <f t="shared" si="8"/>
        <v>00:00:00</v>
      </c>
      <c r="E54" s="4" t="str">
        <f t="shared" si="9"/>
        <v>港股通组合费</v>
      </c>
      <c r="H54" s="4">
        <v>0</v>
      </c>
      <c r="I54" s="4">
        <v>0</v>
      </c>
      <c r="J54" s="4">
        <v>0.15</v>
      </c>
      <c r="K54" s="4">
        <v>-0.15</v>
      </c>
      <c r="L54" s="4">
        <v>0</v>
      </c>
      <c r="M54" s="4">
        <v>0</v>
      </c>
      <c r="N54" s="4">
        <v>11725.61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 t="str">
        <f t="shared" si="10"/>
        <v>0</v>
      </c>
      <c r="AA54" s="4" t="str">
        <f t="shared" si="11"/>
        <v>0</v>
      </c>
      <c r="AB54" s="4" t="str">
        <f t="shared" si="2"/>
        <v>人民币</v>
      </c>
      <c r="AC54" s="4" t="str">
        <f t="shared" si="3"/>
        <v>A368402599</v>
      </c>
    </row>
    <row r="55" spans="1:29">
      <c r="A55" s="4" t="str">
        <f>"20211221"</f>
        <v>20211221</v>
      </c>
      <c r="B55" s="4" t="str">
        <f>"20211221"</f>
        <v>20211221</v>
      </c>
      <c r="C55" s="4" t="str">
        <f t="shared" si="7"/>
        <v>0</v>
      </c>
      <c r="D55" s="4" t="str">
        <f t="shared" si="8"/>
        <v>00:00:00</v>
      </c>
      <c r="E55" s="4" t="str">
        <f t="shared" si="9"/>
        <v>港股通组合费</v>
      </c>
      <c r="H55" s="4">
        <v>0</v>
      </c>
      <c r="I55" s="4">
        <v>0</v>
      </c>
      <c r="J55" s="4">
        <v>0.04</v>
      </c>
      <c r="K55" s="4">
        <v>-0.04</v>
      </c>
      <c r="L55" s="4">
        <v>0</v>
      </c>
      <c r="M55" s="4">
        <v>0</v>
      </c>
      <c r="N55" s="4">
        <v>11725.57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 t="str">
        <f t="shared" si="10"/>
        <v>0</v>
      </c>
      <c r="AA55" s="4" t="str">
        <f t="shared" si="11"/>
        <v>0</v>
      </c>
      <c r="AB55" s="4" t="str">
        <f t="shared" si="2"/>
        <v>人民币</v>
      </c>
      <c r="AC55" s="4" t="str">
        <f t="shared" si="3"/>
        <v>A368402599</v>
      </c>
    </row>
    <row r="56" spans="1:29">
      <c r="A56" s="4" t="str">
        <f>"20211222"</f>
        <v>20211222</v>
      </c>
      <c r="B56" s="4" t="str">
        <f>"20211222"</f>
        <v>20211222</v>
      </c>
      <c r="C56" s="4" t="str">
        <f t="shared" si="7"/>
        <v>0</v>
      </c>
      <c r="D56" s="4" t="str">
        <f t="shared" si="8"/>
        <v>00:00:00</v>
      </c>
      <c r="E56" s="4" t="str">
        <f t="shared" si="9"/>
        <v>港股通组合费</v>
      </c>
      <c r="H56" s="4">
        <v>0</v>
      </c>
      <c r="I56" s="4">
        <v>0</v>
      </c>
      <c r="J56" s="4">
        <v>0.04</v>
      </c>
      <c r="K56" s="4">
        <v>-0.04</v>
      </c>
      <c r="L56" s="4">
        <v>0</v>
      </c>
      <c r="M56" s="4">
        <v>0</v>
      </c>
      <c r="N56" s="4">
        <v>11878.96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 t="str">
        <f t="shared" si="10"/>
        <v>0</v>
      </c>
      <c r="AA56" s="4" t="str">
        <f t="shared" si="11"/>
        <v>0</v>
      </c>
      <c r="AB56" s="4" t="str">
        <f t="shared" si="2"/>
        <v>人民币</v>
      </c>
      <c r="AC56" s="4" t="str">
        <f t="shared" si="3"/>
        <v>A368402599</v>
      </c>
    </row>
    <row r="57" spans="1:29">
      <c r="A57" s="4" t="str">
        <f>"20211223"</f>
        <v>20211223</v>
      </c>
      <c r="B57" s="4" t="str">
        <f>"20211223"</f>
        <v>20211223</v>
      </c>
      <c r="C57" s="4" t="str">
        <f t="shared" si="7"/>
        <v>0</v>
      </c>
      <c r="D57" s="4" t="str">
        <f t="shared" si="8"/>
        <v>00:00:00</v>
      </c>
      <c r="E57" s="4" t="str">
        <f t="shared" si="9"/>
        <v>港股通组合费</v>
      </c>
      <c r="H57" s="4">
        <v>0</v>
      </c>
      <c r="I57" s="4">
        <v>0</v>
      </c>
      <c r="J57" s="4">
        <v>0.04</v>
      </c>
      <c r="K57" s="4">
        <v>-0.04</v>
      </c>
      <c r="L57" s="4">
        <v>0</v>
      </c>
      <c r="M57" s="4">
        <v>0</v>
      </c>
      <c r="N57" s="4">
        <v>11878.92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 t="str">
        <f t="shared" si="10"/>
        <v>0</v>
      </c>
      <c r="AA57" s="4" t="str">
        <f t="shared" si="11"/>
        <v>0</v>
      </c>
      <c r="AB57" s="4" t="str">
        <f t="shared" si="2"/>
        <v>人民币</v>
      </c>
      <c r="AC57" s="4" t="str">
        <f t="shared" si="3"/>
        <v>A368402599</v>
      </c>
    </row>
    <row r="58" spans="1:29">
      <c r="A58" s="4" t="str">
        <f>"20211224"</f>
        <v>20211224</v>
      </c>
      <c r="B58" s="4" t="str">
        <f>"20211224"</f>
        <v>20211224</v>
      </c>
      <c r="C58" s="4" t="str">
        <f t="shared" si="7"/>
        <v>0</v>
      </c>
      <c r="D58" s="4" t="str">
        <f t="shared" si="8"/>
        <v>00:00:00</v>
      </c>
      <c r="E58" s="4" t="str">
        <f t="shared" si="9"/>
        <v>港股通组合费</v>
      </c>
      <c r="H58" s="4">
        <v>0</v>
      </c>
      <c r="I58" s="4">
        <v>0</v>
      </c>
      <c r="J58" s="4">
        <v>0.05</v>
      </c>
      <c r="K58" s="4">
        <v>-0.05</v>
      </c>
      <c r="L58" s="4">
        <v>0</v>
      </c>
      <c r="M58" s="4">
        <v>0</v>
      </c>
      <c r="N58" s="4">
        <v>3073.87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 t="str">
        <f t="shared" si="10"/>
        <v>0</v>
      </c>
      <c r="AA58" s="4" t="str">
        <f t="shared" si="11"/>
        <v>0</v>
      </c>
      <c r="AB58" s="4" t="str">
        <f t="shared" si="2"/>
        <v>人民币</v>
      </c>
      <c r="AC58" s="4" t="str">
        <f t="shared" si="3"/>
        <v>A368402599</v>
      </c>
    </row>
    <row r="59" spans="1:29">
      <c r="A59" s="4" t="str">
        <f>"20211228"</f>
        <v>20211228</v>
      </c>
      <c r="B59" s="4" t="str">
        <f>"20211228"</f>
        <v>20211228</v>
      </c>
      <c r="C59" s="4" t="str">
        <f t="shared" si="7"/>
        <v>0</v>
      </c>
      <c r="D59" s="4" t="str">
        <f t="shared" si="8"/>
        <v>00:00:00</v>
      </c>
      <c r="E59" s="4" t="str">
        <f t="shared" si="9"/>
        <v>港股通组合费</v>
      </c>
      <c r="H59" s="4">
        <v>0</v>
      </c>
      <c r="I59" s="4">
        <v>0</v>
      </c>
      <c r="J59" s="4">
        <v>0.2</v>
      </c>
      <c r="K59" s="4">
        <v>-0.2</v>
      </c>
      <c r="L59" s="4">
        <v>0</v>
      </c>
      <c r="M59" s="4">
        <v>0</v>
      </c>
      <c r="N59" s="4">
        <v>4.8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 t="str">
        <f t="shared" si="10"/>
        <v>0</v>
      </c>
      <c r="AA59" s="4" t="str">
        <f t="shared" si="11"/>
        <v>0</v>
      </c>
      <c r="AB59" s="4" t="str">
        <f t="shared" si="2"/>
        <v>人民币</v>
      </c>
      <c r="AC59" s="4" t="str">
        <f t="shared" si="3"/>
        <v>A368402599</v>
      </c>
    </row>
    <row r="60" spans="1:29">
      <c r="A60" s="4" t="str">
        <f>"20211229"</f>
        <v>20211229</v>
      </c>
      <c r="B60" s="4" t="str">
        <f>"20211229"</f>
        <v>20211229</v>
      </c>
      <c r="C60" s="4" t="str">
        <f t="shared" si="7"/>
        <v>0</v>
      </c>
      <c r="D60" s="4" t="str">
        <f t="shared" si="8"/>
        <v>00:00:00</v>
      </c>
      <c r="E60" s="4" t="str">
        <f t="shared" si="9"/>
        <v>港股通组合费</v>
      </c>
      <c r="H60" s="4">
        <v>0</v>
      </c>
      <c r="I60" s="4">
        <v>0</v>
      </c>
      <c r="J60" s="4">
        <v>0.05</v>
      </c>
      <c r="K60" s="4">
        <v>-0.05</v>
      </c>
      <c r="L60" s="4">
        <v>0</v>
      </c>
      <c r="M60" s="4">
        <v>0</v>
      </c>
      <c r="N60" s="4">
        <v>4.95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 t="str">
        <f t="shared" si="10"/>
        <v>0</v>
      </c>
      <c r="AA60" s="4" t="str">
        <f t="shared" si="11"/>
        <v>0</v>
      </c>
      <c r="AB60" s="4" t="str">
        <f t="shared" si="2"/>
        <v>人民币</v>
      </c>
      <c r="AC60" s="4" t="str">
        <f t="shared" si="3"/>
        <v>A368402599</v>
      </c>
    </row>
    <row r="61" spans="1:29">
      <c r="A61" s="4" t="str">
        <f>"20211230"</f>
        <v>20211230</v>
      </c>
      <c r="B61" s="4" t="str">
        <f>"20211230"</f>
        <v>20211230</v>
      </c>
      <c r="C61" s="4" t="str">
        <f t="shared" si="7"/>
        <v>0</v>
      </c>
      <c r="D61" s="4" t="str">
        <f t="shared" si="8"/>
        <v>00:00:00</v>
      </c>
      <c r="E61" s="4" t="str">
        <f t="shared" si="9"/>
        <v>港股通组合费</v>
      </c>
      <c r="H61" s="4">
        <v>0</v>
      </c>
      <c r="I61" s="4">
        <v>0</v>
      </c>
      <c r="J61" s="4">
        <v>0.05</v>
      </c>
      <c r="K61" s="4">
        <v>-0.05</v>
      </c>
      <c r="L61" s="4">
        <v>0</v>
      </c>
      <c r="M61" s="4">
        <v>0</v>
      </c>
      <c r="N61" s="4">
        <v>4.95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 t="str">
        <f t="shared" si="10"/>
        <v>0</v>
      </c>
      <c r="AA61" s="4" t="str">
        <f t="shared" si="11"/>
        <v>0</v>
      </c>
      <c r="AB61" s="4" t="str">
        <f t="shared" si="2"/>
        <v>人民币</v>
      </c>
      <c r="AC61" s="4" t="str">
        <f t="shared" si="3"/>
        <v>A368402599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"/>
  <sheetViews>
    <sheetView workbookViewId="0">
      <selection activeCell="R34" sqref="R34"/>
    </sheetView>
  </sheetViews>
  <sheetFormatPr defaultColWidth="9" defaultRowHeight="13.5"/>
  <cols>
    <col min="1" max="16384" width="9" style="3"/>
  </cols>
  <sheetData>
    <row r="1" spans="1:15">
      <c r="A1" s="3" t="str">
        <f>"成交日期"</f>
        <v>成交日期</v>
      </c>
      <c r="B1" s="3" t="str">
        <f>"委托日期"</f>
        <v>委托日期</v>
      </c>
      <c r="C1" s="3" t="str">
        <f>"业务类型"</f>
        <v>业务类型</v>
      </c>
      <c r="D1" s="3" t="str">
        <f>"证券代码"</f>
        <v>证券代码</v>
      </c>
      <c r="E1" s="3" t="str">
        <f>"证券名称"</f>
        <v>证券名称</v>
      </c>
      <c r="F1" s="3" t="str">
        <f>"成交价格"</f>
        <v>成交价格</v>
      </c>
      <c r="G1" s="3" t="str">
        <f>"成交数量"</f>
        <v>成交数量</v>
      </c>
      <c r="H1" s="3" t="str">
        <f>"成交金额"</f>
        <v>成交金额</v>
      </c>
      <c r="I1" s="3" t="str">
        <f>"发生金额"</f>
        <v>发生金额</v>
      </c>
      <c r="J1" s="3" t="str">
        <f>"资金余额"</f>
        <v>资金余额</v>
      </c>
      <c r="K1" s="3" t="str">
        <f>"当前持仓"</f>
        <v>当前持仓</v>
      </c>
      <c r="L1" s="3" t="str">
        <f>"币种"</f>
        <v>币种</v>
      </c>
      <c r="M1" s="3" t="str">
        <f>"协议编号"</f>
        <v>协议编号</v>
      </c>
      <c r="N1" s="3" t="str">
        <f>"股东代码"</f>
        <v>股东代码</v>
      </c>
      <c r="O1" s="3" t="str">
        <f>"产品账号"</f>
        <v>产品账号</v>
      </c>
    </row>
    <row r="2" spans="1:15">
      <c r="A2" s="3" t="str">
        <f>"20220105"</f>
        <v>20220105</v>
      </c>
      <c r="B2" s="3" t="str">
        <f t="shared" ref="B2:B7" si="0">"20220105"</f>
        <v>20220105</v>
      </c>
      <c r="C2" s="3" t="str">
        <f t="shared" ref="C2:C6" si="1">"基金赎回拨入"</f>
        <v>基金赎回拨入</v>
      </c>
      <c r="D2" s="3" t="str">
        <f t="shared" ref="D2:D6" si="2">"AA0007"</f>
        <v>AA0007</v>
      </c>
      <c r="E2" s="3" t="str">
        <f t="shared" ref="E2:E6" si="3">"银河水星1号集合"</f>
        <v>银河水星1号集合</v>
      </c>
      <c r="F2" s="3">
        <v>0</v>
      </c>
      <c r="G2" s="3">
        <v>0</v>
      </c>
      <c r="H2" s="3">
        <v>0</v>
      </c>
      <c r="I2" s="3">
        <v>0.25</v>
      </c>
      <c r="J2" s="3">
        <v>5</v>
      </c>
      <c r="K2" s="3">
        <v>0</v>
      </c>
      <c r="L2" s="3" t="str">
        <f t="shared" ref="L2:L56" si="4">"人民币"</f>
        <v>人民币</v>
      </c>
      <c r="N2" s="3" t="str">
        <f t="shared" ref="N2:N6" si="5">"980149593788"</f>
        <v>980149593788</v>
      </c>
      <c r="O2" s="3" t="str">
        <f t="shared" ref="O2:O56" si="6">"300100052893"</f>
        <v>300100052893</v>
      </c>
    </row>
    <row r="3" spans="1:15">
      <c r="A3" s="3" t="str">
        <f>"20220106"</f>
        <v>20220106</v>
      </c>
      <c r="B3" s="3" t="str">
        <f>"20220106"</f>
        <v>20220106</v>
      </c>
      <c r="C3" s="3" t="str">
        <f t="shared" si="1"/>
        <v>基金赎回拨入</v>
      </c>
      <c r="D3" s="3" t="str">
        <f t="shared" si="2"/>
        <v>AA0007</v>
      </c>
      <c r="E3" s="3" t="str">
        <f t="shared" si="3"/>
        <v>银河水星1号集合</v>
      </c>
      <c r="F3" s="3">
        <v>0</v>
      </c>
      <c r="G3" s="3">
        <v>0</v>
      </c>
      <c r="H3" s="3">
        <v>0</v>
      </c>
      <c r="I3" s="3">
        <v>0.05</v>
      </c>
      <c r="J3" s="3">
        <v>5</v>
      </c>
      <c r="K3" s="3">
        <v>0</v>
      </c>
      <c r="L3" s="3" t="str">
        <f t="shared" si="4"/>
        <v>人民币</v>
      </c>
      <c r="N3" s="3" t="str">
        <f t="shared" si="5"/>
        <v>980149593788</v>
      </c>
      <c r="O3" s="3" t="str">
        <f t="shared" si="6"/>
        <v>300100052893</v>
      </c>
    </row>
    <row r="4" spans="1:15">
      <c r="A4" s="3" t="str">
        <f>"20220107"</f>
        <v>20220107</v>
      </c>
      <c r="B4" s="3" t="str">
        <f>"20220107"</f>
        <v>20220107</v>
      </c>
      <c r="C4" s="3" t="str">
        <f t="shared" si="1"/>
        <v>基金赎回拨入</v>
      </c>
      <c r="D4" s="3" t="str">
        <f t="shared" si="2"/>
        <v>AA0007</v>
      </c>
      <c r="E4" s="3" t="str">
        <f t="shared" si="3"/>
        <v>银河水星1号集合</v>
      </c>
      <c r="F4" s="3">
        <v>0</v>
      </c>
      <c r="G4" s="3">
        <v>1785</v>
      </c>
      <c r="H4" s="3">
        <v>0</v>
      </c>
      <c r="I4" s="3">
        <v>1785.05</v>
      </c>
      <c r="J4" s="3">
        <v>1790</v>
      </c>
      <c r="K4" s="3">
        <v>0</v>
      </c>
      <c r="L4" s="3" t="str">
        <f t="shared" si="4"/>
        <v>人民币</v>
      </c>
      <c r="N4" s="3" t="str">
        <f t="shared" si="5"/>
        <v>980149593788</v>
      </c>
      <c r="O4" s="3" t="str">
        <f t="shared" si="6"/>
        <v>300100052893</v>
      </c>
    </row>
    <row r="5" spans="1:15">
      <c r="A5" s="3" t="str">
        <f>"20220107"</f>
        <v>20220107</v>
      </c>
      <c r="B5" s="3" t="str">
        <f t="shared" si="0"/>
        <v>20220105</v>
      </c>
      <c r="C5" s="3" t="str">
        <f>"配售缴款"</f>
        <v>配售缴款</v>
      </c>
      <c r="D5" s="3" t="str">
        <f t="shared" ref="D5:D10" si="7">"001227"</f>
        <v>001227</v>
      </c>
      <c r="E5" s="3" t="str">
        <f t="shared" ref="E5:E10" si="8">"兰州银行"</f>
        <v>兰州银行</v>
      </c>
      <c r="F5" s="3">
        <v>3.57</v>
      </c>
      <c r="G5" s="3">
        <v>500</v>
      </c>
      <c r="H5" s="3">
        <v>1785</v>
      </c>
      <c r="I5" s="3">
        <v>-1785</v>
      </c>
      <c r="J5" s="3">
        <v>5</v>
      </c>
      <c r="K5" s="3">
        <v>0</v>
      </c>
      <c r="L5" s="3" t="str">
        <f t="shared" si="4"/>
        <v>人民币</v>
      </c>
      <c r="M5" s="3" t="str">
        <f>"T400010209"</f>
        <v>T400010209</v>
      </c>
      <c r="N5" s="3" t="str">
        <f t="shared" ref="N5:N10" si="9">"0149593788"</f>
        <v>0149593788</v>
      </c>
      <c r="O5" s="3" t="str">
        <f t="shared" si="6"/>
        <v>300100052893</v>
      </c>
    </row>
    <row r="6" spans="1:15">
      <c r="A6" s="3" t="str">
        <f>"20220110"</f>
        <v>20220110</v>
      </c>
      <c r="B6" s="3" t="str">
        <f>"20220110"</f>
        <v>20220110</v>
      </c>
      <c r="C6" s="3" t="str">
        <f t="shared" si="1"/>
        <v>基金赎回拨入</v>
      </c>
      <c r="D6" s="3" t="str">
        <f t="shared" si="2"/>
        <v>AA0007</v>
      </c>
      <c r="E6" s="3" t="str">
        <f t="shared" si="3"/>
        <v>银河水星1号集合</v>
      </c>
      <c r="F6" s="3">
        <v>0</v>
      </c>
      <c r="G6" s="3">
        <v>0</v>
      </c>
      <c r="H6" s="3">
        <v>0</v>
      </c>
      <c r="I6" s="3">
        <v>0.05</v>
      </c>
      <c r="J6" s="3">
        <v>5</v>
      </c>
      <c r="K6" s="3">
        <v>0</v>
      </c>
      <c r="L6" s="3" t="str">
        <f t="shared" si="4"/>
        <v>人民币</v>
      </c>
      <c r="N6" s="3" t="str">
        <f t="shared" si="5"/>
        <v>980149593788</v>
      </c>
      <c r="O6" s="3" t="str">
        <f t="shared" si="6"/>
        <v>300100052893</v>
      </c>
    </row>
    <row r="7" spans="1:15">
      <c r="A7" s="3" t="str">
        <f>"20220110"</f>
        <v>20220110</v>
      </c>
      <c r="B7" s="3" t="str">
        <f t="shared" si="0"/>
        <v>20220105</v>
      </c>
      <c r="C7" s="3" t="str">
        <f>"配售股份"</f>
        <v>配售股份</v>
      </c>
      <c r="D7" s="3" t="str">
        <f t="shared" si="7"/>
        <v>001227</v>
      </c>
      <c r="E7" s="3" t="str">
        <f t="shared" si="8"/>
        <v>兰州银行</v>
      </c>
      <c r="F7" s="3">
        <v>3.57</v>
      </c>
      <c r="G7" s="3">
        <v>500</v>
      </c>
      <c r="H7" s="3">
        <v>1785</v>
      </c>
      <c r="I7" s="3">
        <v>0</v>
      </c>
      <c r="J7" s="3">
        <v>5</v>
      </c>
      <c r="K7" s="3">
        <v>500</v>
      </c>
      <c r="L7" s="3" t="str">
        <f t="shared" si="4"/>
        <v>人民币</v>
      </c>
      <c r="M7" s="3" t="str">
        <f>"T400010209"</f>
        <v>T400010209</v>
      </c>
      <c r="N7" s="3" t="str">
        <f t="shared" si="9"/>
        <v>0149593788</v>
      </c>
      <c r="O7" s="3" t="str">
        <f t="shared" si="6"/>
        <v>300100052893</v>
      </c>
    </row>
    <row r="8" spans="1:15">
      <c r="A8" s="3" t="str">
        <f t="shared" ref="A8:A10" si="10">"20220111"</f>
        <v>20220111</v>
      </c>
      <c r="B8" s="3" t="str">
        <f>"20220111"</f>
        <v>20220111</v>
      </c>
      <c r="C8" s="3" t="str">
        <f t="shared" ref="C8:C15" si="11">"基金赎回拨入"</f>
        <v>基金赎回拨入</v>
      </c>
      <c r="D8" s="3" t="str">
        <f t="shared" ref="D8:D16" si="12">"AA0007"</f>
        <v>AA0007</v>
      </c>
      <c r="E8" s="3" t="str">
        <f t="shared" ref="E8:E16" si="13">"银河水星1号集合"</f>
        <v>银河水星1号集合</v>
      </c>
      <c r="F8" s="3">
        <v>0</v>
      </c>
      <c r="G8" s="3">
        <v>0</v>
      </c>
      <c r="H8" s="3">
        <v>0</v>
      </c>
      <c r="I8" s="3">
        <v>0.15</v>
      </c>
      <c r="J8" s="3">
        <v>5</v>
      </c>
      <c r="K8" s="3">
        <v>0</v>
      </c>
      <c r="L8" s="3" t="str">
        <f t="shared" si="4"/>
        <v>人民币</v>
      </c>
      <c r="N8" s="3" t="str">
        <f t="shared" ref="N8:N16" si="14">"980149593788"</f>
        <v>980149593788</v>
      </c>
      <c r="O8" s="3" t="str">
        <f t="shared" si="6"/>
        <v>300100052893</v>
      </c>
    </row>
    <row r="9" spans="1:15">
      <c r="A9" s="3" t="str">
        <f t="shared" si="10"/>
        <v>20220111</v>
      </c>
      <c r="B9" s="3" t="str">
        <f>"20220105"</f>
        <v>20220105</v>
      </c>
      <c r="C9" s="3" t="str">
        <f>"中签股份下账"</f>
        <v>中签股份下账</v>
      </c>
      <c r="D9" s="3" t="str">
        <f t="shared" si="7"/>
        <v>001227</v>
      </c>
      <c r="E9" s="3" t="str">
        <f t="shared" si="8"/>
        <v>兰州银行</v>
      </c>
      <c r="F9" s="3">
        <v>3.57</v>
      </c>
      <c r="G9" s="3">
        <v>500</v>
      </c>
      <c r="H9" s="3">
        <v>1785</v>
      </c>
      <c r="I9" s="3">
        <v>0</v>
      </c>
      <c r="J9" s="3">
        <v>5</v>
      </c>
      <c r="K9" s="3">
        <v>0</v>
      </c>
      <c r="L9" s="3" t="str">
        <f t="shared" si="4"/>
        <v>人民币</v>
      </c>
      <c r="N9" s="3" t="str">
        <f t="shared" si="9"/>
        <v>0149593788</v>
      </c>
      <c r="O9" s="3" t="str">
        <f t="shared" si="6"/>
        <v>300100052893</v>
      </c>
    </row>
    <row r="10" spans="1:15">
      <c r="A10" s="3" t="str">
        <f t="shared" si="10"/>
        <v>20220111</v>
      </c>
      <c r="B10" s="3" t="str">
        <f>"20220105"</f>
        <v>20220105</v>
      </c>
      <c r="C10" s="3" t="str">
        <f>"新股入帐"</f>
        <v>新股入帐</v>
      </c>
      <c r="D10" s="3" t="str">
        <f t="shared" si="7"/>
        <v>001227</v>
      </c>
      <c r="E10" s="3" t="str">
        <f t="shared" si="8"/>
        <v>兰州银行</v>
      </c>
      <c r="F10" s="3">
        <v>3.57</v>
      </c>
      <c r="G10" s="3">
        <v>500</v>
      </c>
      <c r="H10" s="3">
        <v>0</v>
      </c>
      <c r="I10" s="3">
        <v>0</v>
      </c>
      <c r="J10" s="3">
        <v>5</v>
      </c>
      <c r="K10" s="3">
        <v>500</v>
      </c>
      <c r="L10" s="3" t="str">
        <f t="shared" si="4"/>
        <v>人民币</v>
      </c>
      <c r="N10" s="3" t="str">
        <f t="shared" si="9"/>
        <v>0149593788</v>
      </c>
      <c r="O10" s="3" t="str">
        <f t="shared" si="6"/>
        <v>300100052893</v>
      </c>
    </row>
    <row r="11" spans="1:15">
      <c r="A11" s="3" t="str">
        <f>"20220112"</f>
        <v>20220112</v>
      </c>
      <c r="B11" s="3" t="str">
        <f>"20220112"</f>
        <v>20220112</v>
      </c>
      <c r="C11" s="3" t="str">
        <f t="shared" si="11"/>
        <v>基金赎回拨入</v>
      </c>
      <c r="D11" s="3" t="str">
        <f t="shared" si="12"/>
        <v>AA0007</v>
      </c>
      <c r="E11" s="3" t="str">
        <f t="shared" si="13"/>
        <v>银河水星1号集合</v>
      </c>
      <c r="F11" s="3">
        <v>0</v>
      </c>
      <c r="G11" s="3">
        <v>0</v>
      </c>
      <c r="H11" s="3">
        <v>0</v>
      </c>
      <c r="I11" s="3">
        <v>0.05</v>
      </c>
      <c r="J11" s="3">
        <v>5</v>
      </c>
      <c r="K11" s="3">
        <v>0</v>
      </c>
      <c r="L11" s="3" t="str">
        <f t="shared" si="4"/>
        <v>人民币</v>
      </c>
      <c r="N11" s="3" t="str">
        <f t="shared" si="14"/>
        <v>980149593788</v>
      </c>
      <c r="O11" s="3" t="str">
        <f t="shared" si="6"/>
        <v>300100052893</v>
      </c>
    </row>
    <row r="12" spans="1:15">
      <c r="A12" s="3" t="str">
        <f>"20220113"</f>
        <v>20220113</v>
      </c>
      <c r="B12" s="3" t="str">
        <f>"20220113"</f>
        <v>20220113</v>
      </c>
      <c r="C12" s="3" t="str">
        <f t="shared" si="11"/>
        <v>基金赎回拨入</v>
      </c>
      <c r="D12" s="3" t="str">
        <f t="shared" si="12"/>
        <v>AA0007</v>
      </c>
      <c r="E12" s="3" t="str">
        <f t="shared" si="13"/>
        <v>银河水星1号集合</v>
      </c>
      <c r="F12" s="3">
        <v>0</v>
      </c>
      <c r="G12" s="3">
        <v>0</v>
      </c>
      <c r="H12" s="3">
        <v>0</v>
      </c>
      <c r="I12" s="3">
        <v>0.05</v>
      </c>
      <c r="J12" s="3">
        <v>5</v>
      </c>
      <c r="K12" s="3">
        <v>0</v>
      </c>
      <c r="L12" s="3" t="str">
        <f t="shared" si="4"/>
        <v>人民币</v>
      </c>
      <c r="N12" s="3" t="str">
        <f t="shared" si="14"/>
        <v>980149593788</v>
      </c>
      <c r="O12" s="3" t="str">
        <f t="shared" si="6"/>
        <v>300100052893</v>
      </c>
    </row>
    <row r="13" spans="1:15">
      <c r="A13" s="3" t="str">
        <f>"20220114"</f>
        <v>20220114</v>
      </c>
      <c r="B13" s="3" t="str">
        <f>"20220114"</f>
        <v>20220114</v>
      </c>
      <c r="C13" s="3" t="str">
        <f t="shared" si="11"/>
        <v>基金赎回拨入</v>
      </c>
      <c r="D13" s="3" t="str">
        <f t="shared" si="12"/>
        <v>AA0007</v>
      </c>
      <c r="E13" s="3" t="str">
        <f t="shared" si="13"/>
        <v>银河水星1号集合</v>
      </c>
      <c r="F13" s="3">
        <v>0</v>
      </c>
      <c r="G13" s="3">
        <v>0</v>
      </c>
      <c r="H13" s="3">
        <v>0</v>
      </c>
      <c r="I13" s="3">
        <v>0.05</v>
      </c>
      <c r="J13" s="3">
        <v>5</v>
      </c>
      <c r="K13" s="3">
        <v>0</v>
      </c>
      <c r="L13" s="3" t="str">
        <f t="shared" si="4"/>
        <v>人民币</v>
      </c>
      <c r="N13" s="3" t="str">
        <f t="shared" si="14"/>
        <v>980149593788</v>
      </c>
      <c r="O13" s="3" t="str">
        <f t="shared" si="6"/>
        <v>300100052893</v>
      </c>
    </row>
    <row r="14" spans="1:15">
      <c r="A14" s="3" t="str">
        <f>"20220117"</f>
        <v>20220117</v>
      </c>
      <c r="B14" s="3" t="str">
        <f>"20220117"</f>
        <v>20220117</v>
      </c>
      <c r="C14" s="3" t="str">
        <f t="shared" si="11"/>
        <v>基金赎回拨入</v>
      </c>
      <c r="D14" s="3" t="str">
        <f t="shared" si="12"/>
        <v>AA0007</v>
      </c>
      <c r="E14" s="3" t="str">
        <f t="shared" si="13"/>
        <v>银河水星1号集合</v>
      </c>
      <c r="F14" s="3">
        <v>0</v>
      </c>
      <c r="G14" s="3">
        <v>0</v>
      </c>
      <c r="H14" s="3">
        <v>0</v>
      </c>
      <c r="I14" s="3">
        <v>0.05</v>
      </c>
      <c r="J14" s="3">
        <v>5</v>
      </c>
      <c r="K14" s="3">
        <v>0</v>
      </c>
      <c r="L14" s="3" t="str">
        <f t="shared" si="4"/>
        <v>人民币</v>
      </c>
      <c r="N14" s="3" t="str">
        <f t="shared" si="14"/>
        <v>980149593788</v>
      </c>
      <c r="O14" s="3" t="str">
        <f t="shared" si="6"/>
        <v>300100052893</v>
      </c>
    </row>
    <row r="15" spans="1:15">
      <c r="A15" s="3" t="str">
        <f>"20220118"</f>
        <v>20220118</v>
      </c>
      <c r="B15" s="3" t="str">
        <f>"20220118"</f>
        <v>20220118</v>
      </c>
      <c r="C15" s="3" t="str">
        <f t="shared" si="11"/>
        <v>基金赎回拨入</v>
      </c>
      <c r="D15" s="3" t="str">
        <f t="shared" si="12"/>
        <v>AA0007</v>
      </c>
      <c r="E15" s="3" t="str">
        <f t="shared" si="13"/>
        <v>银河水星1号集合</v>
      </c>
      <c r="F15" s="3">
        <v>0</v>
      </c>
      <c r="G15" s="3">
        <v>0</v>
      </c>
      <c r="H15" s="3">
        <v>0</v>
      </c>
      <c r="I15" s="3">
        <v>0.15</v>
      </c>
      <c r="J15" s="3">
        <v>5</v>
      </c>
      <c r="K15" s="3">
        <v>0</v>
      </c>
      <c r="L15" s="3" t="str">
        <f t="shared" si="4"/>
        <v>人民币</v>
      </c>
      <c r="N15" s="3" t="str">
        <f t="shared" si="14"/>
        <v>980149593788</v>
      </c>
      <c r="O15" s="3" t="str">
        <f t="shared" si="6"/>
        <v>300100052893</v>
      </c>
    </row>
    <row r="16" spans="1:15">
      <c r="A16" s="3" t="str">
        <f>"20220119"</f>
        <v>20220119</v>
      </c>
      <c r="B16" s="3" t="str">
        <f>"20220119"</f>
        <v>20220119</v>
      </c>
      <c r="C16" s="3" t="str">
        <f>"基金申购拨出"</f>
        <v>基金申购拨出</v>
      </c>
      <c r="D16" s="3" t="str">
        <f t="shared" si="12"/>
        <v>AA0007</v>
      </c>
      <c r="E16" s="3" t="str">
        <f t="shared" si="13"/>
        <v>银河水星1号集合</v>
      </c>
      <c r="F16" s="3">
        <v>0</v>
      </c>
      <c r="G16" s="3">
        <v>0</v>
      </c>
      <c r="H16" s="3">
        <v>0</v>
      </c>
      <c r="I16" s="3">
        <v>-3091.85</v>
      </c>
      <c r="J16" s="3">
        <v>-3086.9</v>
      </c>
      <c r="K16" s="3">
        <v>0</v>
      </c>
      <c r="L16" s="3" t="str">
        <f t="shared" si="4"/>
        <v>人民币</v>
      </c>
      <c r="N16" s="3" t="str">
        <f t="shared" si="14"/>
        <v>980149593788</v>
      </c>
      <c r="O16" s="3" t="str">
        <f t="shared" si="6"/>
        <v>300100052893</v>
      </c>
    </row>
    <row r="17" spans="1:15">
      <c r="A17" s="3" t="str">
        <f>"20220119"</f>
        <v>20220119</v>
      </c>
      <c r="B17" s="3" t="str">
        <f>"20220119"</f>
        <v>20220119</v>
      </c>
      <c r="C17" s="3" t="str">
        <f>"证券卖出"</f>
        <v>证券卖出</v>
      </c>
      <c r="D17" s="3" t="str">
        <f>"001227"</f>
        <v>001227</v>
      </c>
      <c r="E17" s="3" t="str">
        <f>"兰州银行"</f>
        <v>兰州银行</v>
      </c>
      <c r="F17" s="3">
        <v>6.2</v>
      </c>
      <c r="G17" s="3">
        <v>500</v>
      </c>
      <c r="H17" s="3">
        <v>3100</v>
      </c>
      <c r="I17" s="3">
        <v>3091.9</v>
      </c>
      <c r="J17" s="3">
        <v>5</v>
      </c>
      <c r="K17" s="3">
        <v>0</v>
      </c>
      <c r="L17" s="3" t="str">
        <f t="shared" si="4"/>
        <v>人民币</v>
      </c>
      <c r="M17" s="3" t="str">
        <f>"T400007267"</f>
        <v>T400007267</v>
      </c>
      <c r="N17" s="3" t="str">
        <f>"0149593788"</f>
        <v>0149593788</v>
      </c>
      <c r="O17" s="3" t="str">
        <f t="shared" si="6"/>
        <v>300100052893</v>
      </c>
    </row>
    <row r="18" spans="1:15">
      <c r="A18" s="3" t="str">
        <f>"20220120"</f>
        <v>20220120</v>
      </c>
      <c r="B18" s="3" t="str">
        <f>"20220120"</f>
        <v>20220120</v>
      </c>
      <c r="C18" s="3" t="str">
        <f t="shared" ref="C18:C53" si="15">"基金赎回拨入"</f>
        <v>基金赎回拨入</v>
      </c>
      <c r="D18" s="3" t="str">
        <f t="shared" ref="D18:D53" si="16">"AA0007"</f>
        <v>AA0007</v>
      </c>
      <c r="E18" s="3" t="str">
        <f t="shared" ref="E18:E53" si="17">"银河水星1号集合"</f>
        <v>银河水星1号集合</v>
      </c>
      <c r="F18" s="3">
        <v>0</v>
      </c>
      <c r="G18" s="3">
        <v>0</v>
      </c>
      <c r="H18" s="3">
        <v>0</v>
      </c>
      <c r="I18" s="3">
        <v>0.05</v>
      </c>
      <c r="J18" s="3">
        <v>5</v>
      </c>
      <c r="K18" s="3">
        <v>0</v>
      </c>
      <c r="L18" s="3" t="str">
        <f t="shared" si="4"/>
        <v>人民币</v>
      </c>
      <c r="N18" s="3" t="str">
        <f t="shared" ref="N18:N53" si="18">"980149593788"</f>
        <v>980149593788</v>
      </c>
      <c r="O18" s="3" t="str">
        <f t="shared" si="6"/>
        <v>300100052893</v>
      </c>
    </row>
    <row r="19" spans="1:15">
      <c r="A19" s="3" t="str">
        <f>"20220121"</f>
        <v>20220121</v>
      </c>
      <c r="B19" s="3" t="str">
        <f>"20220121"</f>
        <v>20220121</v>
      </c>
      <c r="C19" s="3" t="str">
        <f t="shared" si="15"/>
        <v>基金赎回拨入</v>
      </c>
      <c r="D19" s="3" t="str">
        <f t="shared" si="16"/>
        <v>AA0007</v>
      </c>
      <c r="E19" s="3" t="str">
        <f t="shared" si="17"/>
        <v>银河水星1号集合</v>
      </c>
      <c r="F19" s="3">
        <v>0</v>
      </c>
      <c r="G19" s="3">
        <v>0</v>
      </c>
      <c r="H19" s="3">
        <v>0</v>
      </c>
      <c r="I19" s="3">
        <v>0.05</v>
      </c>
      <c r="J19" s="3">
        <v>5</v>
      </c>
      <c r="K19" s="3">
        <v>0</v>
      </c>
      <c r="L19" s="3" t="str">
        <f t="shared" si="4"/>
        <v>人民币</v>
      </c>
      <c r="N19" s="3" t="str">
        <f t="shared" si="18"/>
        <v>980149593788</v>
      </c>
      <c r="O19" s="3" t="str">
        <f t="shared" si="6"/>
        <v>300100052893</v>
      </c>
    </row>
    <row r="20" spans="1:15">
      <c r="A20" s="3" t="str">
        <f>"20220124"</f>
        <v>20220124</v>
      </c>
      <c r="B20" s="3" t="str">
        <f>"20220124"</f>
        <v>20220124</v>
      </c>
      <c r="C20" s="3" t="str">
        <f t="shared" si="15"/>
        <v>基金赎回拨入</v>
      </c>
      <c r="D20" s="3" t="str">
        <f t="shared" si="16"/>
        <v>AA0007</v>
      </c>
      <c r="E20" s="3" t="str">
        <f t="shared" si="17"/>
        <v>银河水星1号集合</v>
      </c>
      <c r="F20" s="3">
        <v>0</v>
      </c>
      <c r="G20" s="3">
        <v>0</v>
      </c>
      <c r="H20" s="3">
        <v>0</v>
      </c>
      <c r="I20" s="3">
        <v>0.05</v>
      </c>
      <c r="J20" s="3">
        <v>5</v>
      </c>
      <c r="K20" s="3">
        <v>0</v>
      </c>
      <c r="L20" s="3" t="str">
        <f t="shared" si="4"/>
        <v>人民币</v>
      </c>
      <c r="N20" s="3" t="str">
        <f t="shared" si="18"/>
        <v>980149593788</v>
      </c>
      <c r="O20" s="3" t="str">
        <f t="shared" si="6"/>
        <v>300100052893</v>
      </c>
    </row>
    <row r="21" spans="1:15">
      <c r="A21" s="3" t="str">
        <f>"20220125"</f>
        <v>20220125</v>
      </c>
      <c r="B21" s="3" t="str">
        <f>"20220125"</f>
        <v>20220125</v>
      </c>
      <c r="C21" s="3" t="str">
        <f t="shared" si="15"/>
        <v>基金赎回拨入</v>
      </c>
      <c r="D21" s="3" t="str">
        <f t="shared" si="16"/>
        <v>AA0007</v>
      </c>
      <c r="E21" s="3" t="str">
        <f t="shared" si="17"/>
        <v>银河水星1号集合</v>
      </c>
      <c r="F21" s="3">
        <v>0</v>
      </c>
      <c r="G21" s="3">
        <v>0</v>
      </c>
      <c r="H21" s="3">
        <v>0</v>
      </c>
      <c r="I21" s="3">
        <v>0.15</v>
      </c>
      <c r="J21" s="3">
        <v>5</v>
      </c>
      <c r="K21" s="3">
        <v>0</v>
      </c>
      <c r="L21" s="3" t="str">
        <f t="shared" si="4"/>
        <v>人民币</v>
      </c>
      <c r="N21" s="3" t="str">
        <f t="shared" si="18"/>
        <v>980149593788</v>
      </c>
      <c r="O21" s="3" t="str">
        <f t="shared" si="6"/>
        <v>300100052893</v>
      </c>
    </row>
    <row r="22" spans="1:15">
      <c r="A22" s="3" t="str">
        <f>"20220126"</f>
        <v>20220126</v>
      </c>
      <c r="B22" s="3" t="str">
        <f>"20220126"</f>
        <v>20220126</v>
      </c>
      <c r="C22" s="3" t="str">
        <f t="shared" si="15"/>
        <v>基金赎回拨入</v>
      </c>
      <c r="D22" s="3" t="str">
        <f t="shared" si="16"/>
        <v>AA0007</v>
      </c>
      <c r="E22" s="3" t="str">
        <f t="shared" si="17"/>
        <v>银河水星1号集合</v>
      </c>
      <c r="F22" s="3">
        <v>0</v>
      </c>
      <c r="G22" s="3">
        <v>0</v>
      </c>
      <c r="H22" s="3">
        <v>0</v>
      </c>
      <c r="I22" s="3">
        <v>0.05</v>
      </c>
      <c r="J22" s="3">
        <v>5</v>
      </c>
      <c r="K22" s="3">
        <v>0</v>
      </c>
      <c r="L22" s="3" t="str">
        <f t="shared" si="4"/>
        <v>人民币</v>
      </c>
      <c r="N22" s="3" t="str">
        <f t="shared" si="18"/>
        <v>980149593788</v>
      </c>
      <c r="O22" s="3" t="str">
        <f t="shared" si="6"/>
        <v>300100052893</v>
      </c>
    </row>
    <row r="23" spans="1:15">
      <c r="A23" s="3" t="str">
        <f>"20220127"</f>
        <v>20220127</v>
      </c>
      <c r="B23" s="3" t="str">
        <f>"20220127"</f>
        <v>20220127</v>
      </c>
      <c r="C23" s="3" t="str">
        <f t="shared" si="15"/>
        <v>基金赎回拨入</v>
      </c>
      <c r="D23" s="3" t="str">
        <f t="shared" si="16"/>
        <v>AA0007</v>
      </c>
      <c r="E23" s="3" t="str">
        <f t="shared" si="17"/>
        <v>银河水星1号集合</v>
      </c>
      <c r="F23" s="3">
        <v>0</v>
      </c>
      <c r="G23" s="3">
        <v>0</v>
      </c>
      <c r="H23" s="3">
        <v>0</v>
      </c>
      <c r="I23" s="3">
        <v>0.05</v>
      </c>
      <c r="J23" s="3">
        <v>5</v>
      </c>
      <c r="K23" s="3">
        <v>0</v>
      </c>
      <c r="L23" s="3" t="str">
        <f t="shared" si="4"/>
        <v>人民币</v>
      </c>
      <c r="N23" s="3" t="str">
        <f t="shared" si="18"/>
        <v>980149593788</v>
      </c>
      <c r="O23" s="3" t="str">
        <f t="shared" si="6"/>
        <v>300100052893</v>
      </c>
    </row>
    <row r="24" spans="1:15">
      <c r="A24" s="3" t="str">
        <f>"20220128"</f>
        <v>20220128</v>
      </c>
      <c r="B24" s="3" t="str">
        <f>"20220128"</f>
        <v>20220128</v>
      </c>
      <c r="C24" s="3" t="str">
        <f t="shared" si="15"/>
        <v>基金赎回拨入</v>
      </c>
      <c r="D24" s="3" t="str">
        <f t="shared" si="16"/>
        <v>AA0007</v>
      </c>
      <c r="E24" s="3" t="str">
        <f t="shared" si="17"/>
        <v>银河水星1号集合</v>
      </c>
      <c r="F24" s="3">
        <v>0</v>
      </c>
      <c r="G24" s="3">
        <v>0</v>
      </c>
      <c r="H24" s="3">
        <v>0</v>
      </c>
      <c r="I24" s="3">
        <v>0.05</v>
      </c>
      <c r="J24" s="3">
        <v>5</v>
      </c>
      <c r="K24" s="3">
        <v>0</v>
      </c>
      <c r="L24" s="3" t="str">
        <f t="shared" si="4"/>
        <v>人民币</v>
      </c>
      <c r="N24" s="3" t="str">
        <f t="shared" si="18"/>
        <v>980149593788</v>
      </c>
      <c r="O24" s="3" t="str">
        <f t="shared" si="6"/>
        <v>300100052893</v>
      </c>
    </row>
    <row r="25" spans="1:15">
      <c r="A25" s="3" t="str">
        <f>"20220207"</f>
        <v>20220207</v>
      </c>
      <c r="B25" s="3" t="str">
        <f>"20220207"</f>
        <v>20220207</v>
      </c>
      <c r="C25" s="3" t="str">
        <f t="shared" si="15"/>
        <v>基金赎回拨入</v>
      </c>
      <c r="D25" s="3" t="str">
        <f t="shared" si="16"/>
        <v>AA0007</v>
      </c>
      <c r="E25" s="3" t="str">
        <f t="shared" si="17"/>
        <v>银河水星1号集合</v>
      </c>
      <c r="F25" s="3">
        <v>0</v>
      </c>
      <c r="G25" s="3">
        <v>0</v>
      </c>
      <c r="H25" s="3">
        <v>0</v>
      </c>
      <c r="I25" s="3">
        <v>0.05</v>
      </c>
      <c r="J25" s="3">
        <v>5</v>
      </c>
      <c r="K25" s="3">
        <v>0</v>
      </c>
      <c r="L25" s="3" t="str">
        <f t="shared" si="4"/>
        <v>人民币</v>
      </c>
      <c r="N25" s="3" t="str">
        <f t="shared" si="18"/>
        <v>980149593788</v>
      </c>
      <c r="O25" s="3" t="str">
        <f t="shared" si="6"/>
        <v>300100052893</v>
      </c>
    </row>
    <row r="26" spans="1:15">
      <c r="A26" s="3" t="str">
        <f>"20220208"</f>
        <v>20220208</v>
      </c>
      <c r="B26" s="3" t="str">
        <f>"20220208"</f>
        <v>20220208</v>
      </c>
      <c r="C26" s="3" t="str">
        <f t="shared" si="15"/>
        <v>基金赎回拨入</v>
      </c>
      <c r="D26" s="3" t="str">
        <f t="shared" si="16"/>
        <v>AA0007</v>
      </c>
      <c r="E26" s="3" t="str">
        <f t="shared" si="17"/>
        <v>银河水星1号集合</v>
      </c>
      <c r="F26" s="3">
        <v>0</v>
      </c>
      <c r="G26" s="3">
        <v>0</v>
      </c>
      <c r="H26" s="3">
        <v>0</v>
      </c>
      <c r="I26" s="3">
        <v>0.49</v>
      </c>
      <c r="J26" s="3">
        <v>5</v>
      </c>
      <c r="K26" s="3">
        <v>0</v>
      </c>
      <c r="L26" s="3" t="str">
        <f t="shared" si="4"/>
        <v>人民币</v>
      </c>
      <c r="N26" s="3" t="str">
        <f t="shared" si="18"/>
        <v>980149593788</v>
      </c>
      <c r="O26" s="3" t="str">
        <f t="shared" si="6"/>
        <v>300100052893</v>
      </c>
    </row>
    <row r="27" spans="1:15">
      <c r="A27" s="3" t="str">
        <f>"20220209"</f>
        <v>20220209</v>
      </c>
      <c r="B27" s="3" t="str">
        <f>"20220209"</f>
        <v>20220209</v>
      </c>
      <c r="C27" s="3" t="str">
        <f t="shared" si="15"/>
        <v>基金赎回拨入</v>
      </c>
      <c r="D27" s="3" t="str">
        <f t="shared" si="16"/>
        <v>AA0007</v>
      </c>
      <c r="E27" s="3" t="str">
        <f t="shared" si="17"/>
        <v>银河水星1号集合</v>
      </c>
      <c r="F27" s="3">
        <v>0</v>
      </c>
      <c r="G27" s="3">
        <v>0</v>
      </c>
      <c r="H27" s="3">
        <v>0</v>
      </c>
      <c r="I27" s="3">
        <v>0.05</v>
      </c>
      <c r="J27" s="3">
        <v>5</v>
      </c>
      <c r="K27" s="3">
        <v>0</v>
      </c>
      <c r="L27" s="3" t="str">
        <f t="shared" si="4"/>
        <v>人民币</v>
      </c>
      <c r="N27" s="3" t="str">
        <f t="shared" si="18"/>
        <v>980149593788</v>
      </c>
      <c r="O27" s="3" t="str">
        <f t="shared" si="6"/>
        <v>300100052893</v>
      </c>
    </row>
    <row r="28" spans="1:15">
      <c r="A28" s="3" t="str">
        <f>"20220210"</f>
        <v>20220210</v>
      </c>
      <c r="B28" s="3" t="str">
        <f>"20220210"</f>
        <v>20220210</v>
      </c>
      <c r="C28" s="3" t="str">
        <f t="shared" si="15"/>
        <v>基金赎回拨入</v>
      </c>
      <c r="D28" s="3" t="str">
        <f t="shared" si="16"/>
        <v>AA0007</v>
      </c>
      <c r="E28" s="3" t="str">
        <f t="shared" si="17"/>
        <v>银河水星1号集合</v>
      </c>
      <c r="F28" s="3">
        <v>0</v>
      </c>
      <c r="G28" s="3">
        <v>0</v>
      </c>
      <c r="H28" s="3">
        <v>0</v>
      </c>
      <c r="I28" s="3">
        <v>0.05</v>
      </c>
      <c r="J28" s="3">
        <v>5</v>
      </c>
      <c r="K28" s="3">
        <v>0</v>
      </c>
      <c r="L28" s="3" t="str">
        <f t="shared" si="4"/>
        <v>人民币</v>
      </c>
      <c r="N28" s="3" t="str">
        <f t="shared" si="18"/>
        <v>980149593788</v>
      </c>
      <c r="O28" s="3" t="str">
        <f t="shared" si="6"/>
        <v>300100052893</v>
      </c>
    </row>
    <row r="29" spans="1:15">
      <c r="A29" s="3" t="str">
        <f>"20220211"</f>
        <v>20220211</v>
      </c>
      <c r="B29" s="3" t="str">
        <f>"20220211"</f>
        <v>20220211</v>
      </c>
      <c r="C29" s="3" t="str">
        <f t="shared" si="15"/>
        <v>基金赎回拨入</v>
      </c>
      <c r="D29" s="3" t="str">
        <f t="shared" si="16"/>
        <v>AA0007</v>
      </c>
      <c r="E29" s="3" t="str">
        <f t="shared" si="17"/>
        <v>银河水星1号集合</v>
      </c>
      <c r="F29" s="3">
        <v>0</v>
      </c>
      <c r="G29" s="3">
        <v>0</v>
      </c>
      <c r="H29" s="3">
        <v>0</v>
      </c>
      <c r="I29" s="3">
        <v>0.05</v>
      </c>
      <c r="J29" s="3">
        <v>5</v>
      </c>
      <c r="K29" s="3">
        <v>0</v>
      </c>
      <c r="L29" s="3" t="str">
        <f t="shared" si="4"/>
        <v>人民币</v>
      </c>
      <c r="N29" s="3" t="str">
        <f t="shared" si="18"/>
        <v>980149593788</v>
      </c>
      <c r="O29" s="3" t="str">
        <f t="shared" si="6"/>
        <v>300100052893</v>
      </c>
    </row>
    <row r="30" spans="1:15">
      <c r="A30" s="3" t="str">
        <f>"20220214"</f>
        <v>20220214</v>
      </c>
      <c r="B30" s="3" t="str">
        <f>"20220214"</f>
        <v>20220214</v>
      </c>
      <c r="C30" s="3" t="str">
        <f t="shared" si="15"/>
        <v>基金赎回拨入</v>
      </c>
      <c r="D30" s="3" t="str">
        <f t="shared" si="16"/>
        <v>AA0007</v>
      </c>
      <c r="E30" s="3" t="str">
        <f t="shared" si="17"/>
        <v>银河水星1号集合</v>
      </c>
      <c r="F30" s="3">
        <v>0</v>
      </c>
      <c r="G30" s="3">
        <v>0</v>
      </c>
      <c r="H30" s="3">
        <v>0</v>
      </c>
      <c r="I30" s="3">
        <v>0.05</v>
      </c>
      <c r="J30" s="3">
        <v>5</v>
      </c>
      <c r="K30" s="3">
        <v>0</v>
      </c>
      <c r="L30" s="3" t="str">
        <f t="shared" si="4"/>
        <v>人民币</v>
      </c>
      <c r="N30" s="3" t="str">
        <f t="shared" si="18"/>
        <v>980149593788</v>
      </c>
      <c r="O30" s="3" t="str">
        <f t="shared" si="6"/>
        <v>300100052893</v>
      </c>
    </row>
    <row r="31" spans="1:15">
      <c r="A31" s="3" t="str">
        <f>"20220215"</f>
        <v>20220215</v>
      </c>
      <c r="B31" s="3" t="str">
        <f>"20220215"</f>
        <v>20220215</v>
      </c>
      <c r="C31" s="3" t="str">
        <f t="shared" si="15"/>
        <v>基金赎回拨入</v>
      </c>
      <c r="D31" s="3" t="str">
        <f t="shared" si="16"/>
        <v>AA0007</v>
      </c>
      <c r="E31" s="3" t="str">
        <f t="shared" si="17"/>
        <v>银河水星1号集合</v>
      </c>
      <c r="F31" s="3">
        <v>0</v>
      </c>
      <c r="G31" s="3">
        <v>0</v>
      </c>
      <c r="H31" s="3">
        <v>0</v>
      </c>
      <c r="I31" s="3">
        <v>0.15</v>
      </c>
      <c r="J31" s="3">
        <v>5</v>
      </c>
      <c r="K31" s="3">
        <v>0</v>
      </c>
      <c r="L31" s="3" t="str">
        <f t="shared" si="4"/>
        <v>人民币</v>
      </c>
      <c r="N31" s="3" t="str">
        <f t="shared" si="18"/>
        <v>980149593788</v>
      </c>
      <c r="O31" s="3" t="str">
        <f t="shared" si="6"/>
        <v>300100052893</v>
      </c>
    </row>
    <row r="32" spans="1:15">
      <c r="A32" s="3" t="str">
        <f>"20220216"</f>
        <v>20220216</v>
      </c>
      <c r="B32" s="3" t="str">
        <f>"20220216"</f>
        <v>20220216</v>
      </c>
      <c r="C32" s="3" t="str">
        <f t="shared" si="15"/>
        <v>基金赎回拨入</v>
      </c>
      <c r="D32" s="3" t="str">
        <f t="shared" si="16"/>
        <v>AA0007</v>
      </c>
      <c r="E32" s="3" t="str">
        <f t="shared" si="17"/>
        <v>银河水星1号集合</v>
      </c>
      <c r="F32" s="3">
        <v>0</v>
      </c>
      <c r="G32" s="3">
        <v>0</v>
      </c>
      <c r="H32" s="3">
        <v>0</v>
      </c>
      <c r="I32" s="3">
        <v>0.05</v>
      </c>
      <c r="J32" s="3">
        <v>5</v>
      </c>
      <c r="K32" s="3">
        <v>0</v>
      </c>
      <c r="L32" s="3" t="str">
        <f t="shared" si="4"/>
        <v>人民币</v>
      </c>
      <c r="N32" s="3" t="str">
        <f t="shared" si="18"/>
        <v>980149593788</v>
      </c>
      <c r="O32" s="3" t="str">
        <f t="shared" si="6"/>
        <v>300100052893</v>
      </c>
    </row>
    <row r="33" spans="1:15">
      <c r="A33" s="3" t="str">
        <f>"20220217"</f>
        <v>20220217</v>
      </c>
      <c r="B33" s="3" t="str">
        <f>"20220217"</f>
        <v>20220217</v>
      </c>
      <c r="C33" s="3" t="str">
        <f t="shared" si="15"/>
        <v>基金赎回拨入</v>
      </c>
      <c r="D33" s="3" t="str">
        <f t="shared" si="16"/>
        <v>AA0007</v>
      </c>
      <c r="E33" s="3" t="str">
        <f t="shared" si="17"/>
        <v>银河水星1号集合</v>
      </c>
      <c r="F33" s="3">
        <v>0</v>
      </c>
      <c r="G33" s="3">
        <v>0</v>
      </c>
      <c r="H33" s="3">
        <v>0</v>
      </c>
      <c r="I33" s="3">
        <v>0.05</v>
      </c>
      <c r="J33" s="3">
        <v>5</v>
      </c>
      <c r="K33" s="3">
        <v>0</v>
      </c>
      <c r="L33" s="3" t="str">
        <f t="shared" si="4"/>
        <v>人民币</v>
      </c>
      <c r="N33" s="3" t="str">
        <f t="shared" si="18"/>
        <v>980149593788</v>
      </c>
      <c r="O33" s="3" t="str">
        <f t="shared" si="6"/>
        <v>300100052893</v>
      </c>
    </row>
    <row r="34" spans="1:15">
      <c r="A34" s="3" t="str">
        <f>"20220218"</f>
        <v>20220218</v>
      </c>
      <c r="B34" s="3" t="str">
        <f>"20220218"</f>
        <v>20220218</v>
      </c>
      <c r="C34" s="3" t="str">
        <f t="shared" si="15"/>
        <v>基金赎回拨入</v>
      </c>
      <c r="D34" s="3" t="str">
        <f t="shared" si="16"/>
        <v>AA0007</v>
      </c>
      <c r="E34" s="3" t="str">
        <f t="shared" si="17"/>
        <v>银河水星1号集合</v>
      </c>
      <c r="F34" s="3">
        <v>0</v>
      </c>
      <c r="G34" s="3">
        <v>0</v>
      </c>
      <c r="H34" s="3">
        <v>0</v>
      </c>
      <c r="I34" s="3">
        <v>0.05</v>
      </c>
      <c r="J34" s="3">
        <v>5</v>
      </c>
      <c r="K34" s="3">
        <v>0</v>
      </c>
      <c r="L34" s="3" t="str">
        <f t="shared" si="4"/>
        <v>人民币</v>
      </c>
      <c r="N34" s="3" t="str">
        <f t="shared" si="18"/>
        <v>980149593788</v>
      </c>
      <c r="O34" s="3" t="str">
        <f t="shared" si="6"/>
        <v>300100052893</v>
      </c>
    </row>
    <row r="35" spans="1:15">
      <c r="A35" s="3" t="str">
        <f>"20220221"</f>
        <v>20220221</v>
      </c>
      <c r="B35" s="3" t="str">
        <f>"20220221"</f>
        <v>20220221</v>
      </c>
      <c r="C35" s="3" t="str">
        <f t="shared" si="15"/>
        <v>基金赎回拨入</v>
      </c>
      <c r="D35" s="3" t="str">
        <f t="shared" si="16"/>
        <v>AA0007</v>
      </c>
      <c r="E35" s="3" t="str">
        <f t="shared" si="17"/>
        <v>银河水星1号集合</v>
      </c>
      <c r="F35" s="3">
        <v>0</v>
      </c>
      <c r="G35" s="3">
        <v>0</v>
      </c>
      <c r="H35" s="3">
        <v>0</v>
      </c>
      <c r="I35" s="3">
        <v>0.05</v>
      </c>
      <c r="J35" s="3">
        <v>5</v>
      </c>
      <c r="K35" s="3">
        <v>0</v>
      </c>
      <c r="L35" s="3" t="str">
        <f t="shared" si="4"/>
        <v>人民币</v>
      </c>
      <c r="N35" s="3" t="str">
        <f t="shared" si="18"/>
        <v>980149593788</v>
      </c>
      <c r="O35" s="3" t="str">
        <f t="shared" si="6"/>
        <v>300100052893</v>
      </c>
    </row>
    <row r="36" spans="1:15">
      <c r="A36" s="3" t="str">
        <f>"20220222"</f>
        <v>20220222</v>
      </c>
      <c r="B36" s="3" t="str">
        <f>"20220222"</f>
        <v>20220222</v>
      </c>
      <c r="C36" s="3" t="str">
        <f t="shared" si="15"/>
        <v>基金赎回拨入</v>
      </c>
      <c r="D36" s="3" t="str">
        <f t="shared" si="16"/>
        <v>AA0007</v>
      </c>
      <c r="E36" s="3" t="str">
        <f t="shared" si="17"/>
        <v>银河水星1号集合</v>
      </c>
      <c r="F36" s="3">
        <v>0</v>
      </c>
      <c r="G36" s="3">
        <v>0</v>
      </c>
      <c r="H36" s="3">
        <v>0</v>
      </c>
      <c r="I36" s="3">
        <v>0.15</v>
      </c>
      <c r="J36" s="3">
        <v>5</v>
      </c>
      <c r="K36" s="3">
        <v>0</v>
      </c>
      <c r="L36" s="3" t="str">
        <f t="shared" si="4"/>
        <v>人民币</v>
      </c>
      <c r="N36" s="3" t="str">
        <f t="shared" si="18"/>
        <v>980149593788</v>
      </c>
      <c r="O36" s="3" t="str">
        <f t="shared" si="6"/>
        <v>300100052893</v>
      </c>
    </row>
    <row r="37" spans="1:15">
      <c r="A37" s="3" t="str">
        <f>"20220223"</f>
        <v>20220223</v>
      </c>
      <c r="B37" s="3" t="str">
        <f>"20220223"</f>
        <v>20220223</v>
      </c>
      <c r="C37" s="3" t="str">
        <f t="shared" si="15"/>
        <v>基金赎回拨入</v>
      </c>
      <c r="D37" s="3" t="str">
        <f t="shared" si="16"/>
        <v>AA0007</v>
      </c>
      <c r="E37" s="3" t="str">
        <f t="shared" si="17"/>
        <v>银河水星1号集合</v>
      </c>
      <c r="F37" s="3">
        <v>0</v>
      </c>
      <c r="G37" s="3">
        <v>0</v>
      </c>
      <c r="H37" s="3">
        <v>0</v>
      </c>
      <c r="I37" s="3">
        <v>0.05</v>
      </c>
      <c r="J37" s="3">
        <v>5</v>
      </c>
      <c r="K37" s="3">
        <v>0</v>
      </c>
      <c r="L37" s="3" t="str">
        <f t="shared" si="4"/>
        <v>人民币</v>
      </c>
      <c r="N37" s="3" t="str">
        <f t="shared" si="18"/>
        <v>980149593788</v>
      </c>
      <c r="O37" s="3" t="str">
        <f t="shared" si="6"/>
        <v>300100052893</v>
      </c>
    </row>
    <row r="38" spans="1:15">
      <c r="A38" s="3" t="str">
        <f>"20220224"</f>
        <v>20220224</v>
      </c>
      <c r="B38" s="3" t="str">
        <f>"20220224"</f>
        <v>20220224</v>
      </c>
      <c r="C38" s="3" t="str">
        <f t="shared" si="15"/>
        <v>基金赎回拨入</v>
      </c>
      <c r="D38" s="3" t="str">
        <f t="shared" si="16"/>
        <v>AA0007</v>
      </c>
      <c r="E38" s="3" t="str">
        <f t="shared" si="17"/>
        <v>银河水星1号集合</v>
      </c>
      <c r="F38" s="3">
        <v>0</v>
      </c>
      <c r="G38" s="3">
        <v>0</v>
      </c>
      <c r="H38" s="3">
        <v>0</v>
      </c>
      <c r="I38" s="3">
        <v>0.05</v>
      </c>
      <c r="J38" s="3">
        <v>5</v>
      </c>
      <c r="K38" s="3">
        <v>0</v>
      </c>
      <c r="L38" s="3" t="str">
        <f t="shared" si="4"/>
        <v>人民币</v>
      </c>
      <c r="N38" s="3" t="str">
        <f t="shared" si="18"/>
        <v>980149593788</v>
      </c>
      <c r="O38" s="3" t="str">
        <f t="shared" si="6"/>
        <v>300100052893</v>
      </c>
    </row>
    <row r="39" spans="1:15">
      <c r="A39" s="3" t="str">
        <f>"20220225"</f>
        <v>20220225</v>
      </c>
      <c r="B39" s="3" t="str">
        <f>"20220225"</f>
        <v>20220225</v>
      </c>
      <c r="C39" s="3" t="str">
        <f t="shared" si="15"/>
        <v>基金赎回拨入</v>
      </c>
      <c r="D39" s="3" t="str">
        <f t="shared" si="16"/>
        <v>AA0007</v>
      </c>
      <c r="E39" s="3" t="str">
        <f t="shared" si="17"/>
        <v>银河水星1号集合</v>
      </c>
      <c r="F39" s="3">
        <v>0</v>
      </c>
      <c r="G39" s="3">
        <v>0</v>
      </c>
      <c r="H39" s="3">
        <v>0</v>
      </c>
      <c r="I39" s="3">
        <v>0.05</v>
      </c>
      <c r="J39" s="3">
        <v>5</v>
      </c>
      <c r="K39" s="3">
        <v>0</v>
      </c>
      <c r="L39" s="3" t="str">
        <f t="shared" si="4"/>
        <v>人民币</v>
      </c>
      <c r="N39" s="3" t="str">
        <f t="shared" si="18"/>
        <v>980149593788</v>
      </c>
      <c r="O39" s="3" t="str">
        <f t="shared" si="6"/>
        <v>300100052893</v>
      </c>
    </row>
    <row r="40" spans="1:15">
      <c r="A40" s="3" t="str">
        <f>"20220228"</f>
        <v>20220228</v>
      </c>
      <c r="B40" s="3" t="str">
        <f>"20220228"</f>
        <v>20220228</v>
      </c>
      <c r="C40" s="3" t="str">
        <f t="shared" si="15"/>
        <v>基金赎回拨入</v>
      </c>
      <c r="D40" s="3" t="str">
        <f t="shared" si="16"/>
        <v>AA0007</v>
      </c>
      <c r="E40" s="3" t="str">
        <f t="shared" si="17"/>
        <v>银河水星1号集合</v>
      </c>
      <c r="F40" s="3">
        <v>0</v>
      </c>
      <c r="G40" s="3">
        <v>0</v>
      </c>
      <c r="H40" s="3">
        <v>0</v>
      </c>
      <c r="I40" s="3">
        <v>0.05</v>
      </c>
      <c r="J40" s="3">
        <v>5</v>
      </c>
      <c r="K40" s="3">
        <v>0</v>
      </c>
      <c r="L40" s="3" t="str">
        <f t="shared" si="4"/>
        <v>人民币</v>
      </c>
      <c r="N40" s="3" t="str">
        <f t="shared" si="18"/>
        <v>980149593788</v>
      </c>
      <c r="O40" s="3" t="str">
        <f t="shared" si="6"/>
        <v>300100052893</v>
      </c>
    </row>
    <row r="41" spans="1:15">
      <c r="A41" s="3" t="str">
        <f>"20220301"</f>
        <v>20220301</v>
      </c>
      <c r="B41" s="3" t="str">
        <f>"20220301"</f>
        <v>20220301</v>
      </c>
      <c r="C41" s="3" t="str">
        <f t="shared" si="15"/>
        <v>基金赎回拨入</v>
      </c>
      <c r="D41" s="3" t="str">
        <f t="shared" si="16"/>
        <v>AA0007</v>
      </c>
      <c r="E41" s="3" t="str">
        <f t="shared" si="17"/>
        <v>银河水星1号集合</v>
      </c>
      <c r="F41" s="3">
        <v>0</v>
      </c>
      <c r="G41" s="3">
        <v>0</v>
      </c>
      <c r="H41" s="3">
        <v>0</v>
      </c>
      <c r="I41" s="3">
        <v>0.15</v>
      </c>
      <c r="J41" s="3">
        <v>5</v>
      </c>
      <c r="K41" s="3">
        <v>0</v>
      </c>
      <c r="L41" s="3" t="str">
        <f t="shared" si="4"/>
        <v>人民币</v>
      </c>
      <c r="N41" s="3" t="str">
        <f t="shared" si="18"/>
        <v>980149593788</v>
      </c>
      <c r="O41" s="3" t="str">
        <f t="shared" si="6"/>
        <v>300100052893</v>
      </c>
    </row>
    <row r="42" spans="1:15">
      <c r="A42" s="3" t="str">
        <f>"20220302"</f>
        <v>20220302</v>
      </c>
      <c r="B42" s="3" t="str">
        <f>"20220302"</f>
        <v>20220302</v>
      </c>
      <c r="C42" s="3" t="str">
        <f t="shared" si="15"/>
        <v>基金赎回拨入</v>
      </c>
      <c r="D42" s="3" t="str">
        <f t="shared" si="16"/>
        <v>AA0007</v>
      </c>
      <c r="E42" s="3" t="str">
        <f t="shared" si="17"/>
        <v>银河水星1号集合</v>
      </c>
      <c r="F42" s="3">
        <v>0</v>
      </c>
      <c r="G42" s="3">
        <v>0</v>
      </c>
      <c r="H42" s="3">
        <v>0</v>
      </c>
      <c r="I42" s="3">
        <v>0.05</v>
      </c>
      <c r="J42" s="3">
        <v>5</v>
      </c>
      <c r="K42" s="3">
        <v>0</v>
      </c>
      <c r="L42" s="3" t="str">
        <f t="shared" si="4"/>
        <v>人民币</v>
      </c>
      <c r="N42" s="3" t="str">
        <f t="shared" si="18"/>
        <v>980149593788</v>
      </c>
      <c r="O42" s="3" t="str">
        <f t="shared" si="6"/>
        <v>300100052893</v>
      </c>
    </row>
    <row r="43" spans="1:15">
      <c r="A43" s="3" t="str">
        <f>"20220303"</f>
        <v>20220303</v>
      </c>
      <c r="B43" s="3" t="str">
        <f>"20220303"</f>
        <v>20220303</v>
      </c>
      <c r="C43" s="3" t="str">
        <f t="shared" si="15"/>
        <v>基金赎回拨入</v>
      </c>
      <c r="D43" s="3" t="str">
        <f t="shared" si="16"/>
        <v>AA0007</v>
      </c>
      <c r="E43" s="3" t="str">
        <f t="shared" si="17"/>
        <v>银河水星1号集合</v>
      </c>
      <c r="F43" s="3">
        <v>0</v>
      </c>
      <c r="G43" s="3">
        <v>0</v>
      </c>
      <c r="H43" s="3">
        <v>0</v>
      </c>
      <c r="I43" s="3">
        <v>0.05</v>
      </c>
      <c r="J43" s="3">
        <v>5</v>
      </c>
      <c r="K43" s="3">
        <v>0</v>
      </c>
      <c r="L43" s="3" t="str">
        <f t="shared" si="4"/>
        <v>人民币</v>
      </c>
      <c r="N43" s="3" t="str">
        <f t="shared" si="18"/>
        <v>980149593788</v>
      </c>
      <c r="O43" s="3" t="str">
        <f t="shared" si="6"/>
        <v>300100052893</v>
      </c>
    </row>
    <row r="44" spans="1:15">
      <c r="A44" s="3" t="str">
        <f>"20220304"</f>
        <v>20220304</v>
      </c>
      <c r="B44" s="3" t="str">
        <f>"20220304"</f>
        <v>20220304</v>
      </c>
      <c r="C44" s="3" t="str">
        <f t="shared" si="15"/>
        <v>基金赎回拨入</v>
      </c>
      <c r="D44" s="3" t="str">
        <f t="shared" si="16"/>
        <v>AA0007</v>
      </c>
      <c r="E44" s="3" t="str">
        <f t="shared" si="17"/>
        <v>银河水星1号集合</v>
      </c>
      <c r="F44" s="3">
        <v>0</v>
      </c>
      <c r="G44" s="3">
        <v>0</v>
      </c>
      <c r="H44" s="3">
        <v>0</v>
      </c>
      <c r="I44" s="3">
        <v>0.05</v>
      </c>
      <c r="J44" s="3">
        <v>5</v>
      </c>
      <c r="K44" s="3">
        <v>0</v>
      </c>
      <c r="L44" s="3" t="str">
        <f t="shared" si="4"/>
        <v>人民币</v>
      </c>
      <c r="N44" s="3" t="str">
        <f t="shared" si="18"/>
        <v>980149593788</v>
      </c>
      <c r="O44" s="3" t="str">
        <f t="shared" si="6"/>
        <v>300100052893</v>
      </c>
    </row>
    <row r="45" spans="1:15">
      <c r="A45" s="3" t="str">
        <f>"20220307"</f>
        <v>20220307</v>
      </c>
      <c r="B45" s="3" t="str">
        <f>"20220307"</f>
        <v>20220307</v>
      </c>
      <c r="C45" s="3" t="str">
        <f t="shared" si="15"/>
        <v>基金赎回拨入</v>
      </c>
      <c r="D45" s="3" t="str">
        <f t="shared" si="16"/>
        <v>AA0007</v>
      </c>
      <c r="E45" s="3" t="str">
        <f t="shared" si="17"/>
        <v>银河水星1号集合</v>
      </c>
      <c r="F45" s="3">
        <v>0</v>
      </c>
      <c r="G45" s="3">
        <v>0</v>
      </c>
      <c r="H45" s="3">
        <v>0</v>
      </c>
      <c r="I45" s="3">
        <v>0.05</v>
      </c>
      <c r="J45" s="3">
        <v>5</v>
      </c>
      <c r="K45" s="3">
        <v>0</v>
      </c>
      <c r="L45" s="3" t="str">
        <f t="shared" si="4"/>
        <v>人民币</v>
      </c>
      <c r="N45" s="3" t="str">
        <f t="shared" si="18"/>
        <v>980149593788</v>
      </c>
      <c r="O45" s="3" t="str">
        <f t="shared" si="6"/>
        <v>300100052893</v>
      </c>
    </row>
    <row r="46" spans="1:15">
      <c r="A46" s="3" t="str">
        <f>"20220308"</f>
        <v>20220308</v>
      </c>
      <c r="B46" s="3" t="str">
        <f>"20220308"</f>
        <v>20220308</v>
      </c>
      <c r="C46" s="3" t="str">
        <f t="shared" si="15"/>
        <v>基金赎回拨入</v>
      </c>
      <c r="D46" s="3" t="str">
        <f t="shared" si="16"/>
        <v>AA0007</v>
      </c>
      <c r="E46" s="3" t="str">
        <f t="shared" si="17"/>
        <v>银河水星1号集合</v>
      </c>
      <c r="F46" s="3">
        <v>0</v>
      </c>
      <c r="G46" s="3">
        <v>0</v>
      </c>
      <c r="H46" s="3">
        <v>0</v>
      </c>
      <c r="I46" s="3">
        <v>0.15</v>
      </c>
      <c r="J46" s="3">
        <v>5</v>
      </c>
      <c r="K46" s="3">
        <v>0</v>
      </c>
      <c r="L46" s="3" t="str">
        <f t="shared" si="4"/>
        <v>人民币</v>
      </c>
      <c r="N46" s="3" t="str">
        <f t="shared" si="18"/>
        <v>980149593788</v>
      </c>
      <c r="O46" s="3" t="str">
        <f t="shared" si="6"/>
        <v>300100052893</v>
      </c>
    </row>
    <row r="47" spans="1:15">
      <c r="A47" s="3" t="str">
        <f>"20220309"</f>
        <v>20220309</v>
      </c>
      <c r="B47" s="3" t="str">
        <f>"20220309"</f>
        <v>20220309</v>
      </c>
      <c r="C47" s="3" t="str">
        <f t="shared" si="15"/>
        <v>基金赎回拨入</v>
      </c>
      <c r="D47" s="3" t="str">
        <f t="shared" si="16"/>
        <v>AA0007</v>
      </c>
      <c r="E47" s="3" t="str">
        <f t="shared" si="17"/>
        <v>银河水星1号集合</v>
      </c>
      <c r="F47" s="3">
        <v>0</v>
      </c>
      <c r="G47" s="3">
        <v>0</v>
      </c>
      <c r="H47" s="3">
        <v>0</v>
      </c>
      <c r="I47" s="3">
        <v>0.05</v>
      </c>
      <c r="J47" s="3">
        <v>5</v>
      </c>
      <c r="K47" s="3">
        <v>0</v>
      </c>
      <c r="L47" s="3" t="str">
        <f t="shared" si="4"/>
        <v>人民币</v>
      </c>
      <c r="N47" s="3" t="str">
        <f t="shared" si="18"/>
        <v>980149593788</v>
      </c>
      <c r="O47" s="3" t="str">
        <f t="shared" si="6"/>
        <v>300100052893</v>
      </c>
    </row>
    <row r="48" spans="1:15">
      <c r="A48" s="3" t="str">
        <f>"20220310"</f>
        <v>20220310</v>
      </c>
      <c r="B48" s="3" t="str">
        <f>"20220310"</f>
        <v>20220310</v>
      </c>
      <c r="C48" s="3" t="str">
        <f t="shared" si="15"/>
        <v>基金赎回拨入</v>
      </c>
      <c r="D48" s="3" t="str">
        <f t="shared" si="16"/>
        <v>AA0007</v>
      </c>
      <c r="E48" s="3" t="str">
        <f t="shared" si="17"/>
        <v>银河水星1号集合</v>
      </c>
      <c r="F48" s="3">
        <v>0</v>
      </c>
      <c r="G48" s="3">
        <v>0</v>
      </c>
      <c r="H48" s="3">
        <v>0</v>
      </c>
      <c r="I48" s="3">
        <v>0.05</v>
      </c>
      <c r="J48" s="3">
        <v>5</v>
      </c>
      <c r="K48" s="3">
        <v>0</v>
      </c>
      <c r="L48" s="3" t="str">
        <f t="shared" si="4"/>
        <v>人民币</v>
      </c>
      <c r="N48" s="3" t="str">
        <f t="shared" si="18"/>
        <v>980149593788</v>
      </c>
      <c r="O48" s="3" t="str">
        <f t="shared" si="6"/>
        <v>300100052893</v>
      </c>
    </row>
    <row r="49" spans="1:15">
      <c r="A49" s="3" t="str">
        <f>"20220311"</f>
        <v>20220311</v>
      </c>
      <c r="B49" s="3" t="str">
        <f>"20220311"</f>
        <v>20220311</v>
      </c>
      <c r="C49" s="3" t="str">
        <f t="shared" si="15"/>
        <v>基金赎回拨入</v>
      </c>
      <c r="D49" s="3" t="str">
        <f t="shared" si="16"/>
        <v>AA0007</v>
      </c>
      <c r="E49" s="3" t="str">
        <f t="shared" si="17"/>
        <v>银河水星1号集合</v>
      </c>
      <c r="F49" s="3">
        <v>0</v>
      </c>
      <c r="G49" s="3">
        <v>0</v>
      </c>
      <c r="H49" s="3">
        <v>0</v>
      </c>
      <c r="I49" s="3">
        <v>0.04</v>
      </c>
      <c r="J49" s="3">
        <v>5</v>
      </c>
      <c r="K49" s="3">
        <v>0</v>
      </c>
      <c r="L49" s="3" t="str">
        <f t="shared" si="4"/>
        <v>人民币</v>
      </c>
      <c r="N49" s="3" t="str">
        <f t="shared" si="18"/>
        <v>980149593788</v>
      </c>
      <c r="O49" s="3" t="str">
        <f t="shared" si="6"/>
        <v>300100052893</v>
      </c>
    </row>
    <row r="50" spans="1:15">
      <c r="A50" s="3" t="str">
        <f>"20220314"</f>
        <v>20220314</v>
      </c>
      <c r="B50" s="3" t="str">
        <f>"20220314"</f>
        <v>20220314</v>
      </c>
      <c r="C50" s="3" t="str">
        <f t="shared" si="15"/>
        <v>基金赎回拨入</v>
      </c>
      <c r="D50" s="3" t="str">
        <f t="shared" si="16"/>
        <v>AA0007</v>
      </c>
      <c r="E50" s="3" t="str">
        <f t="shared" si="17"/>
        <v>银河水星1号集合</v>
      </c>
      <c r="F50" s="3">
        <v>0</v>
      </c>
      <c r="G50" s="3">
        <v>0</v>
      </c>
      <c r="H50" s="3">
        <v>0</v>
      </c>
      <c r="I50" s="3">
        <v>0.05</v>
      </c>
      <c r="J50" s="3">
        <v>5</v>
      </c>
      <c r="K50" s="3">
        <v>0</v>
      </c>
      <c r="L50" s="3" t="str">
        <f t="shared" si="4"/>
        <v>人民币</v>
      </c>
      <c r="N50" s="3" t="str">
        <f t="shared" si="18"/>
        <v>980149593788</v>
      </c>
      <c r="O50" s="3" t="str">
        <f t="shared" si="6"/>
        <v>300100052893</v>
      </c>
    </row>
    <row r="51" spans="1:15">
      <c r="A51" s="3" t="str">
        <f>"20220315"</f>
        <v>20220315</v>
      </c>
      <c r="B51" s="3" t="str">
        <f>"20220315"</f>
        <v>20220315</v>
      </c>
      <c r="C51" s="3" t="str">
        <f t="shared" si="15"/>
        <v>基金赎回拨入</v>
      </c>
      <c r="D51" s="3" t="str">
        <f t="shared" si="16"/>
        <v>AA0007</v>
      </c>
      <c r="E51" s="3" t="str">
        <f t="shared" si="17"/>
        <v>银河水星1号集合</v>
      </c>
      <c r="F51" s="3">
        <v>0</v>
      </c>
      <c r="G51" s="3">
        <v>0</v>
      </c>
      <c r="H51" s="3">
        <v>0</v>
      </c>
      <c r="I51" s="3">
        <v>0.12</v>
      </c>
      <c r="J51" s="3">
        <v>5</v>
      </c>
      <c r="K51" s="3">
        <v>0</v>
      </c>
      <c r="L51" s="3" t="str">
        <f t="shared" si="4"/>
        <v>人民币</v>
      </c>
      <c r="N51" s="3" t="str">
        <f t="shared" si="18"/>
        <v>980149593788</v>
      </c>
      <c r="O51" s="3" t="str">
        <f t="shared" si="6"/>
        <v>300100052893</v>
      </c>
    </row>
    <row r="52" spans="1:15">
      <c r="A52" s="3" t="str">
        <f>"20220316"</f>
        <v>20220316</v>
      </c>
      <c r="B52" s="3" t="str">
        <f>"20220316"</f>
        <v>20220316</v>
      </c>
      <c r="C52" s="3" t="str">
        <f t="shared" si="15"/>
        <v>基金赎回拨入</v>
      </c>
      <c r="D52" s="3" t="str">
        <f t="shared" si="16"/>
        <v>AA0007</v>
      </c>
      <c r="E52" s="3" t="str">
        <f t="shared" si="17"/>
        <v>银河水星1号集合</v>
      </c>
      <c r="F52" s="3">
        <v>0</v>
      </c>
      <c r="G52" s="3">
        <v>0</v>
      </c>
      <c r="H52" s="3">
        <v>0</v>
      </c>
      <c r="I52" s="3">
        <v>0.04</v>
      </c>
      <c r="J52" s="3">
        <v>5</v>
      </c>
      <c r="K52" s="3">
        <v>0</v>
      </c>
      <c r="L52" s="3" t="str">
        <f t="shared" si="4"/>
        <v>人民币</v>
      </c>
      <c r="N52" s="3" t="str">
        <f t="shared" si="18"/>
        <v>980149593788</v>
      </c>
      <c r="O52" s="3" t="str">
        <f t="shared" si="6"/>
        <v>300100052893</v>
      </c>
    </row>
    <row r="53" spans="1:15">
      <c r="A53" s="3" t="str">
        <f>"20220317"</f>
        <v>20220317</v>
      </c>
      <c r="B53" s="3" t="str">
        <f>"20220317"</f>
        <v>20220317</v>
      </c>
      <c r="C53" s="3" t="str">
        <f t="shared" si="15"/>
        <v>基金赎回拨入</v>
      </c>
      <c r="D53" s="3" t="str">
        <f t="shared" si="16"/>
        <v>AA0007</v>
      </c>
      <c r="E53" s="3" t="str">
        <f t="shared" si="17"/>
        <v>银河水星1号集合</v>
      </c>
      <c r="F53" s="3">
        <v>0</v>
      </c>
      <c r="G53" s="3">
        <v>0</v>
      </c>
      <c r="H53" s="3">
        <v>0</v>
      </c>
      <c r="I53" s="3">
        <v>0.04</v>
      </c>
      <c r="J53" s="3">
        <v>5</v>
      </c>
      <c r="K53" s="3">
        <v>0</v>
      </c>
      <c r="L53" s="3" t="str">
        <f t="shared" si="4"/>
        <v>人民币</v>
      </c>
      <c r="N53" s="3" t="str">
        <f t="shared" si="18"/>
        <v>980149593788</v>
      </c>
      <c r="O53" s="3" t="str">
        <f t="shared" si="6"/>
        <v>300100052893</v>
      </c>
    </row>
    <row r="54" spans="1:15">
      <c r="A54" s="3" t="str">
        <f>"20220318"</f>
        <v>20220318</v>
      </c>
      <c r="B54" s="3" t="str">
        <f>"20220318"</f>
        <v>20220318</v>
      </c>
      <c r="C54" s="3" t="str">
        <f>"利息归本"</f>
        <v>利息归本</v>
      </c>
      <c r="F54" s="3">
        <v>0</v>
      </c>
      <c r="G54" s="3">
        <v>0</v>
      </c>
      <c r="H54" s="3">
        <v>0</v>
      </c>
      <c r="I54" s="3">
        <v>0.73</v>
      </c>
      <c r="J54" s="3">
        <v>5.69</v>
      </c>
      <c r="K54" s="3">
        <v>0</v>
      </c>
      <c r="L54" s="3" t="str">
        <f t="shared" si="4"/>
        <v>人民币</v>
      </c>
      <c r="O54" s="3" t="str">
        <f t="shared" si="6"/>
        <v>300100052893</v>
      </c>
    </row>
    <row r="55" spans="1:15">
      <c r="A55" s="3" t="str">
        <f>"20220318"</f>
        <v>20220318</v>
      </c>
      <c r="B55" s="3" t="str">
        <f>"20220318"</f>
        <v>20220318</v>
      </c>
      <c r="C55" s="3" t="str">
        <f>"基金赎回拨入"</f>
        <v>基金赎回拨入</v>
      </c>
      <c r="D55" s="3" t="str">
        <f>"AA0007"</f>
        <v>AA0007</v>
      </c>
      <c r="E55" s="3" t="str">
        <f>"银河水星1号集合"</f>
        <v>银河水星1号集合</v>
      </c>
      <c r="F55" s="3">
        <v>0</v>
      </c>
      <c r="G55" s="3">
        <v>0</v>
      </c>
      <c r="H55" s="3">
        <v>0</v>
      </c>
      <c r="I55" s="3">
        <v>0.04</v>
      </c>
      <c r="J55" s="3">
        <v>5.73</v>
      </c>
      <c r="K55" s="3">
        <v>0</v>
      </c>
      <c r="L55" s="3" t="str">
        <f t="shared" si="4"/>
        <v>人民币</v>
      </c>
      <c r="N55" s="3" t="str">
        <f>"980149593788"</f>
        <v>980149593788</v>
      </c>
      <c r="O55" s="3" t="str">
        <f t="shared" si="6"/>
        <v>300100052893</v>
      </c>
    </row>
    <row r="56" spans="1:15">
      <c r="A56" s="3" t="str">
        <f>"20220322"</f>
        <v>20220322</v>
      </c>
      <c r="B56" s="3" t="str">
        <f>"0"</f>
        <v>0</v>
      </c>
      <c r="C56" s="3" t="str">
        <f>"基金红利拨入"</f>
        <v>基金红利拨入</v>
      </c>
      <c r="D56" s="3" t="str">
        <f>"AA0007"</f>
        <v>AA0007</v>
      </c>
      <c r="E56" s="3" t="str">
        <f>"银河水星1号集合"</f>
        <v>银河水星1号集合</v>
      </c>
      <c r="F56" s="3">
        <v>0</v>
      </c>
      <c r="G56" s="3">
        <v>0</v>
      </c>
      <c r="H56" s="3">
        <v>14.34</v>
      </c>
      <c r="I56" s="3">
        <v>14.34</v>
      </c>
      <c r="J56" s="3">
        <v>19.87</v>
      </c>
      <c r="K56" s="3">
        <v>0</v>
      </c>
      <c r="L56" s="3" t="str">
        <f t="shared" si="4"/>
        <v>人民币</v>
      </c>
      <c r="N56" s="3" t="str">
        <f>"980149593788"</f>
        <v>980149593788</v>
      </c>
      <c r="O56" s="3" t="str">
        <f t="shared" si="6"/>
        <v>300100052893</v>
      </c>
    </row>
  </sheetData>
  <pageMargins left="0.7" right="0.7" top="0.75" bottom="0.75" header="0.3" footer="0.3"/>
  <pageSetup paperSize="9" orientation="portrait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9"/>
  <sheetViews>
    <sheetView workbookViewId="0">
      <selection activeCell="A1" sqref="$A1:$XFD1"/>
    </sheetView>
  </sheetViews>
  <sheetFormatPr defaultColWidth="9" defaultRowHeight="13.5"/>
  <cols>
    <col min="1" max="16384" width="9" style="3"/>
  </cols>
  <sheetData>
    <row r="1" spans="1:29">
      <c r="A1" s="3" t="str">
        <f>"交收日期"</f>
        <v>交收日期</v>
      </c>
      <c r="B1" s="3" t="str">
        <f>"清算日期"</f>
        <v>清算日期</v>
      </c>
      <c r="C1" s="3" t="str">
        <f>"委托日期"</f>
        <v>委托日期</v>
      </c>
      <c r="D1" s="3" t="str">
        <f>"委托时间"</f>
        <v>委托时间</v>
      </c>
      <c r="E1" s="3" t="str">
        <f>"业务类型"</f>
        <v>业务类型</v>
      </c>
      <c r="F1" s="3" t="str">
        <f>"证券代码"</f>
        <v>证券代码</v>
      </c>
      <c r="G1" s="3" t="str">
        <f>"证券名称"</f>
        <v>证券名称</v>
      </c>
      <c r="H1" s="3" t="str">
        <f>"成交价格"</f>
        <v>成交价格</v>
      </c>
      <c r="I1" s="3" t="str">
        <f>"成交数量"</f>
        <v>成交数量</v>
      </c>
      <c r="J1" s="3" t="str">
        <f>"成交金额"</f>
        <v>成交金额</v>
      </c>
      <c r="K1" s="3" t="str">
        <f>"发生金额"</f>
        <v>发生金额</v>
      </c>
      <c r="L1" s="3" t="str">
        <f>"委托数量"</f>
        <v>委托数量</v>
      </c>
      <c r="M1" s="3" t="str">
        <f>"委托价格(港币)"</f>
        <v>委托价格(港币)</v>
      </c>
      <c r="N1" s="3" t="str">
        <f>"剩余金额"</f>
        <v>剩余金额</v>
      </c>
      <c r="O1" s="3" t="str">
        <f>"证券数量"</f>
        <v>证券数量</v>
      </c>
      <c r="P1" s="3" t="str">
        <f>"印花税"</f>
        <v>印花税</v>
      </c>
      <c r="Q1" s="3" t="str">
        <f>"手续费"</f>
        <v>手续费</v>
      </c>
      <c r="R1" s="3" t="str">
        <f>"股份交收费"</f>
        <v>股份交收费</v>
      </c>
      <c r="S1" s="3" t="str">
        <f>"交易费"</f>
        <v>交易费</v>
      </c>
      <c r="T1" s="3" t="str">
        <f>"前台费"</f>
        <v>前台费</v>
      </c>
      <c r="U1" s="3" t="str">
        <f>"交易系统使用费"</f>
        <v>交易系统使用费</v>
      </c>
      <c r="V1" s="3" t="str">
        <f>"交易征费"</f>
        <v>交易征费</v>
      </c>
      <c r="W1" s="3" t="str">
        <f>"其他费"</f>
        <v>其他费</v>
      </c>
      <c r="X1" s="3" t="str">
        <f>"财汇局征费"</f>
        <v>财汇局征费</v>
      </c>
      <c r="Y1" s="3" t="str">
        <f>"结算汇率"</f>
        <v>结算汇率</v>
      </c>
      <c r="Z1" s="3" t="str">
        <f>"协议编号"</f>
        <v>协议编号</v>
      </c>
      <c r="AA1" s="3" t="str">
        <f>"成交时间"</f>
        <v>成交时间</v>
      </c>
      <c r="AB1" s="3" t="str">
        <f>"币种"</f>
        <v>币种</v>
      </c>
      <c r="AC1" s="3" t="str">
        <f>"股东代码"</f>
        <v>股东代码</v>
      </c>
    </row>
    <row r="2" spans="1:29">
      <c r="A2" s="3" t="str">
        <f>"20220104"</f>
        <v>20220104</v>
      </c>
      <c r="B2" s="3" t="str">
        <f>"20220104"</f>
        <v>20220104</v>
      </c>
      <c r="C2" s="3" t="str">
        <f t="shared" ref="C2:C59" si="0">"0"</f>
        <v>0</v>
      </c>
      <c r="D2" s="3" t="str">
        <f t="shared" ref="D2:D59" si="1">"00:00:00"</f>
        <v>00:00:00</v>
      </c>
      <c r="E2" s="3" t="str">
        <f t="shared" ref="E2:E59" si="2">"港股通组合费"</f>
        <v>港股通组合费</v>
      </c>
      <c r="H2" s="3">
        <v>0</v>
      </c>
      <c r="I2" s="3">
        <v>0</v>
      </c>
      <c r="J2" s="3">
        <v>0.25</v>
      </c>
      <c r="K2" s="3">
        <v>-0.25</v>
      </c>
      <c r="L2" s="3">
        <v>0</v>
      </c>
      <c r="M2" s="3">
        <v>0</v>
      </c>
      <c r="N2" s="3">
        <v>4.75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 t="str">
        <f t="shared" ref="Z2:Z59" si="3">"0"</f>
        <v>0</v>
      </c>
      <c r="AA2" s="3" t="str">
        <f t="shared" ref="AA2:AA59" si="4">"0"</f>
        <v>0</v>
      </c>
      <c r="AB2" s="3" t="str">
        <f t="shared" ref="AB2:AB59" si="5">"人民币"</f>
        <v>人民币</v>
      </c>
      <c r="AC2" s="3" t="str">
        <f t="shared" ref="AC2:AC59" si="6">"A368402599"</f>
        <v>A368402599</v>
      </c>
    </row>
    <row r="3" spans="1:29">
      <c r="A3" s="3" t="str">
        <f>"20220105"</f>
        <v>20220105</v>
      </c>
      <c r="B3" s="3" t="str">
        <f>"20220105"</f>
        <v>20220105</v>
      </c>
      <c r="C3" s="3" t="str">
        <f t="shared" si="0"/>
        <v>0</v>
      </c>
      <c r="D3" s="3" t="str">
        <f t="shared" si="1"/>
        <v>00:00:00</v>
      </c>
      <c r="E3" s="3" t="str">
        <f t="shared" si="2"/>
        <v>港股通组合费</v>
      </c>
      <c r="H3" s="3">
        <v>0</v>
      </c>
      <c r="I3" s="3">
        <v>0</v>
      </c>
      <c r="J3" s="3">
        <v>0.05</v>
      </c>
      <c r="K3" s="3">
        <v>-0.05</v>
      </c>
      <c r="L3" s="3">
        <v>0</v>
      </c>
      <c r="M3" s="3">
        <v>0</v>
      </c>
      <c r="N3" s="3">
        <v>4.95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 t="str">
        <f t="shared" si="3"/>
        <v>0</v>
      </c>
      <c r="AA3" s="3" t="str">
        <f t="shared" si="4"/>
        <v>0</v>
      </c>
      <c r="AB3" s="3" t="str">
        <f t="shared" si="5"/>
        <v>人民币</v>
      </c>
      <c r="AC3" s="3" t="str">
        <f t="shared" si="6"/>
        <v>A368402599</v>
      </c>
    </row>
    <row r="4" spans="1:29">
      <c r="A4" s="3" t="str">
        <f>"20220106"</f>
        <v>20220106</v>
      </c>
      <c r="B4" s="3" t="str">
        <f>"20220106"</f>
        <v>20220106</v>
      </c>
      <c r="C4" s="3" t="str">
        <f t="shared" si="0"/>
        <v>0</v>
      </c>
      <c r="D4" s="3" t="str">
        <f t="shared" si="1"/>
        <v>00:00:00</v>
      </c>
      <c r="E4" s="3" t="str">
        <f t="shared" si="2"/>
        <v>港股通组合费</v>
      </c>
      <c r="H4" s="3">
        <v>0</v>
      </c>
      <c r="I4" s="3">
        <v>0</v>
      </c>
      <c r="J4" s="3">
        <v>0.05</v>
      </c>
      <c r="K4" s="3">
        <v>-0.05</v>
      </c>
      <c r="L4" s="3">
        <v>0</v>
      </c>
      <c r="M4" s="3">
        <v>0</v>
      </c>
      <c r="N4" s="3">
        <v>4.95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 t="str">
        <f t="shared" si="3"/>
        <v>0</v>
      </c>
      <c r="AA4" s="3" t="str">
        <f t="shared" si="4"/>
        <v>0</v>
      </c>
      <c r="AB4" s="3" t="str">
        <f t="shared" si="5"/>
        <v>人民币</v>
      </c>
      <c r="AC4" s="3" t="str">
        <f t="shared" si="6"/>
        <v>A368402599</v>
      </c>
    </row>
    <row r="5" spans="1:29">
      <c r="A5" s="3" t="str">
        <f>"20220107"</f>
        <v>20220107</v>
      </c>
      <c r="B5" s="3" t="str">
        <f>"20220107"</f>
        <v>20220107</v>
      </c>
      <c r="C5" s="3" t="str">
        <f t="shared" si="0"/>
        <v>0</v>
      </c>
      <c r="D5" s="3" t="str">
        <f t="shared" si="1"/>
        <v>00:00:00</v>
      </c>
      <c r="E5" s="3" t="str">
        <f t="shared" si="2"/>
        <v>港股通组合费</v>
      </c>
      <c r="H5" s="3">
        <v>0</v>
      </c>
      <c r="I5" s="3">
        <v>0</v>
      </c>
      <c r="J5" s="3">
        <v>0.05</v>
      </c>
      <c r="K5" s="3">
        <v>-0.05</v>
      </c>
      <c r="L5" s="3">
        <v>0</v>
      </c>
      <c r="M5" s="3">
        <v>0</v>
      </c>
      <c r="N5" s="3">
        <v>4.95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 t="str">
        <f t="shared" si="3"/>
        <v>0</v>
      </c>
      <c r="AA5" s="3" t="str">
        <f t="shared" si="4"/>
        <v>0</v>
      </c>
      <c r="AB5" s="3" t="str">
        <f t="shared" si="5"/>
        <v>人民币</v>
      </c>
      <c r="AC5" s="3" t="str">
        <f t="shared" si="6"/>
        <v>A368402599</v>
      </c>
    </row>
    <row r="6" spans="1:29">
      <c r="A6" s="3" t="str">
        <f>"20220110"</f>
        <v>20220110</v>
      </c>
      <c r="B6" s="3" t="str">
        <f>"20220110"</f>
        <v>20220110</v>
      </c>
      <c r="C6" s="3" t="str">
        <f t="shared" si="0"/>
        <v>0</v>
      </c>
      <c r="D6" s="3" t="str">
        <f t="shared" si="1"/>
        <v>00:00:00</v>
      </c>
      <c r="E6" s="3" t="str">
        <f t="shared" si="2"/>
        <v>港股通组合费</v>
      </c>
      <c r="H6" s="3">
        <v>0</v>
      </c>
      <c r="I6" s="3">
        <v>0</v>
      </c>
      <c r="J6" s="3">
        <v>0.15</v>
      </c>
      <c r="K6" s="3">
        <v>-0.15</v>
      </c>
      <c r="L6" s="3">
        <v>0</v>
      </c>
      <c r="M6" s="3">
        <v>0</v>
      </c>
      <c r="N6" s="3">
        <v>4.85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 t="str">
        <f t="shared" si="3"/>
        <v>0</v>
      </c>
      <c r="AA6" s="3" t="str">
        <f t="shared" si="4"/>
        <v>0</v>
      </c>
      <c r="AB6" s="3" t="str">
        <f t="shared" si="5"/>
        <v>人民币</v>
      </c>
      <c r="AC6" s="3" t="str">
        <f t="shared" si="6"/>
        <v>A368402599</v>
      </c>
    </row>
    <row r="7" spans="1:29">
      <c r="A7" s="3" t="str">
        <f>"20220111"</f>
        <v>20220111</v>
      </c>
      <c r="B7" s="3" t="str">
        <f>"20220111"</f>
        <v>20220111</v>
      </c>
      <c r="C7" s="3" t="str">
        <f t="shared" si="0"/>
        <v>0</v>
      </c>
      <c r="D7" s="3" t="str">
        <f t="shared" si="1"/>
        <v>00:00:00</v>
      </c>
      <c r="E7" s="3" t="str">
        <f t="shared" si="2"/>
        <v>港股通组合费</v>
      </c>
      <c r="H7" s="3">
        <v>0</v>
      </c>
      <c r="I7" s="3">
        <v>0</v>
      </c>
      <c r="J7" s="3">
        <v>0.05</v>
      </c>
      <c r="K7" s="3">
        <v>-0.05</v>
      </c>
      <c r="L7" s="3">
        <v>0</v>
      </c>
      <c r="M7" s="3">
        <v>0</v>
      </c>
      <c r="N7" s="3">
        <v>4.95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 t="str">
        <f t="shared" si="3"/>
        <v>0</v>
      </c>
      <c r="AA7" s="3" t="str">
        <f t="shared" si="4"/>
        <v>0</v>
      </c>
      <c r="AB7" s="3" t="str">
        <f t="shared" si="5"/>
        <v>人民币</v>
      </c>
      <c r="AC7" s="3" t="str">
        <f t="shared" si="6"/>
        <v>A368402599</v>
      </c>
    </row>
    <row r="8" spans="1:29">
      <c r="A8" s="3" t="str">
        <f>"20220112"</f>
        <v>20220112</v>
      </c>
      <c r="B8" s="3" t="str">
        <f>"20220112"</f>
        <v>20220112</v>
      </c>
      <c r="C8" s="3" t="str">
        <f t="shared" si="0"/>
        <v>0</v>
      </c>
      <c r="D8" s="3" t="str">
        <f t="shared" si="1"/>
        <v>00:00:00</v>
      </c>
      <c r="E8" s="3" t="str">
        <f t="shared" si="2"/>
        <v>港股通组合费</v>
      </c>
      <c r="H8" s="3">
        <v>0</v>
      </c>
      <c r="I8" s="3">
        <v>0</v>
      </c>
      <c r="J8" s="3">
        <v>0.05</v>
      </c>
      <c r="K8" s="3">
        <v>-0.05</v>
      </c>
      <c r="L8" s="3">
        <v>0</v>
      </c>
      <c r="M8" s="3">
        <v>0</v>
      </c>
      <c r="N8" s="3">
        <v>4.95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 t="str">
        <f t="shared" si="3"/>
        <v>0</v>
      </c>
      <c r="AA8" s="3" t="str">
        <f t="shared" si="4"/>
        <v>0</v>
      </c>
      <c r="AB8" s="3" t="str">
        <f t="shared" si="5"/>
        <v>人民币</v>
      </c>
      <c r="AC8" s="3" t="str">
        <f t="shared" si="6"/>
        <v>A368402599</v>
      </c>
    </row>
    <row r="9" spans="1:29">
      <c r="A9" s="3" t="str">
        <f>"20220113"</f>
        <v>20220113</v>
      </c>
      <c r="B9" s="3" t="str">
        <f>"20220113"</f>
        <v>20220113</v>
      </c>
      <c r="C9" s="3" t="str">
        <f t="shared" si="0"/>
        <v>0</v>
      </c>
      <c r="D9" s="3" t="str">
        <f t="shared" si="1"/>
        <v>00:00:00</v>
      </c>
      <c r="E9" s="3" t="str">
        <f t="shared" si="2"/>
        <v>港股通组合费</v>
      </c>
      <c r="H9" s="3">
        <v>0</v>
      </c>
      <c r="I9" s="3">
        <v>0</v>
      </c>
      <c r="J9" s="3">
        <v>0.05</v>
      </c>
      <c r="K9" s="3">
        <v>-0.05</v>
      </c>
      <c r="L9" s="3">
        <v>0</v>
      </c>
      <c r="M9" s="3">
        <v>0</v>
      </c>
      <c r="N9" s="3">
        <v>4.95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 t="str">
        <f t="shared" si="3"/>
        <v>0</v>
      </c>
      <c r="AA9" s="3" t="str">
        <f t="shared" si="4"/>
        <v>0</v>
      </c>
      <c r="AB9" s="3" t="str">
        <f t="shared" si="5"/>
        <v>人民币</v>
      </c>
      <c r="AC9" s="3" t="str">
        <f t="shared" si="6"/>
        <v>A368402599</v>
      </c>
    </row>
    <row r="10" spans="1:29">
      <c r="A10" s="3" t="str">
        <f>"20220114"</f>
        <v>20220114</v>
      </c>
      <c r="B10" s="3" t="str">
        <f>"20220114"</f>
        <v>20220114</v>
      </c>
      <c r="C10" s="3" t="str">
        <f t="shared" si="0"/>
        <v>0</v>
      </c>
      <c r="D10" s="3" t="str">
        <f t="shared" si="1"/>
        <v>00:00:00</v>
      </c>
      <c r="E10" s="3" t="str">
        <f t="shared" si="2"/>
        <v>港股通组合费</v>
      </c>
      <c r="H10" s="3">
        <v>0</v>
      </c>
      <c r="I10" s="3">
        <v>0</v>
      </c>
      <c r="J10" s="3">
        <v>0.05</v>
      </c>
      <c r="K10" s="3">
        <v>-0.05</v>
      </c>
      <c r="L10" s="3">
        <v>0</v>
      </c>
      <c r="M10" s="3">
        <v>0</v>
      </c>
      <c r="N10" s="3">
        <v>4.95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 t="str">
        <f t="shared" si="3"/>
        <v>0</v>
      </c>
      <c r="AA10" s="3" t="str">
        <f t="shared" si="4"/>
        <v>0</v>
      </c>
      <c r="AB10" s="3" t="str">
        <f t="shared" si="5"/>
        <v>人民币</v>
      </c>
      <c r="AC10" s="3" t="str">
        <f t="shared" si="6"/>
        <v>A368402599</v>
      </c>
    </row>
    <row r="11" spans="1:29">
      <c r="A11" s="3" t="str">
        <f>"20220117"</f>
        <v>20220117</v>
      </c>
      <c r="B11" s="3" t="str">
        <f>"20220117"</f>
        <v>20220117</v>
      </c>
      <c r="C11" s="3" t="str">
        <f t="shared" si="0"/>
        <v>0</v>
      </c>
      <c r="D11" s="3" t="str">
        <f t="shared" si="1"/>
        <v>00:00:00</v>
      </c>
      <c r="E11" s="3" t="str">
        <f t="shared" si="2"/>
        <v>港股通组合费</v>
      </c>
      <c r="H11" s="3">
        <v>0</v>
      </c>
      <c r="I11" s="3">
        <v>0</v>
      </c>
      <c r="J11" s="3">
        <v>0.15</v>
      </c>
      <c r="K11" s="3">
        <v>-0.15</v>
      </c>
      <c r="L11" s="3">
        <v>0</v>
      </c>
      <c r="M11" s="3">
        <v>0</v>
      </c>
      <c r="N11" s="3">
        <v>4.85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 t="str">
        <f t="shared" si="3"/>
        <v>0</v>
      </c>
      <c r="AA11" s="3" t="str">
        <f t="shared" si="4"/>
        <v>0</v>
      </c>
      <c r="AB11" s="3" t="str">
        <f t="shared" si="5"/>
        <v>人民币</v>
      </c>
      <c r="AC11" s="3" t="str">
        <f t="shared" si="6"/>
        <v>A368402599</v>
      </c>
    </row>
    <row r="12" spans="1:29">
      <c r="A12" s="3" t="str">
        <f>"20220118"</f>
        <v>20220118</v>
      </c>
      <c r="B12" s="3" t="str">
        <f>"20220118"</f>
        <v>20220118</v>
      </c>
      <c r="C12" s="3" t="str">
        <f t="shared" si="0"/>
        <v>0</v>
      </c>
      <c r="D12" s="3" t="str">
        <f t="shared" si="1"/>
        <v>00:00:00</v>
      </c>
      <c r="E12" s="3" t="str">
        <f t="shared" si="2"/>
        <v>港股通组合费</v>
      </c>
      <c r="H12" s="3">
        <v>0</v>
      </c>
      <c r="I12" s="3">
        <v>0</v>
      </c>
      <c r="J12" s="3">
        <v>0.05</v>
      </c>
      <c r="K12" s="3">
        <v>-0.05</v>
      </c>
      <c r="L12" s="3">
        <v>0</v>
      </c>
      <c r="M12" s="3">
        <v>0</v>
      </c>
      <c r="N12" s="3">
        <v>4.95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 t="str">
        <f t="shared" si="3"/>
        <v>0</v>
      </c>
      <c r="AA12" s="3" t="str">
        <f t="shared" si="4"/>
        <v>0</v>
      </c>
      <c r="AB12" s="3" t="str">
        <f t="shared" si="5"/>
        <v>人民币</v>
      </c>
      <c r="AC12" s="3" t="str">
        <f t="shared" si="6"/>
        <v>A368402599</v>
      </c>
    </row>
    <row r="13" spans="1:29">
      <c r="A13" s="3" t="str">
        <f>"20220119"</f>
        <v>20220119</v>
      </c>
      <c r="B13" s="3" t="str">
        <f>"20220119"</f>
        <v>20220119</v>
      </c>
      <c r="C13" s="3" t="str">
        <f t="shared" si="0"/>
        <v>0</v>
      </c>
      <c r="D13" s="3" t="str">
        <f t="shared" si="1"/>
        <v>00:00:00</v>
      </c>
      <c r="E13" s="3" t="str">
        <f t="shared" si="2"/>
        <v>港股通组合费</v>
      </c>
      <c r="H13" s="3">
        <v>0</v>
      </c>
      <c r="I13" s="3">
        <v>0</v>
      </c>
      <c r="J13" s="3">
        <v>0.05</v>
      </c>
      <c r="K13" s="3">
        <v>-0.05</v>
      </c>
      <c r="L13" s="3">
        <v>0</v>
      </c>
      <c r="M13" s="3">
        <v>0</v>
      </c>
      <c r="N13" s="3">
        <v>4.95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 t="str">
        <f t="shared" si="3"/>
        <v>0</v>
      </c>
      <c r="AA13" s="3" t="str">
        <f t="shared" si="4"/>
        <v>0</v>
      </c>
      <c r="AB13" s="3" t="str">
        <f t="shared" si="5"/>
        <v>人民币</v>
      </c>
      <c r="AC13" s="3" t="str">
        <f t="shared" si="6"/>
        <v>A368402599</v>
      </c>
    </row>
    <row r="14" spans="1:29">
      <c r="A14" s="3" t="str">
        <f>"20220120"</f>
        <v>20220120</v>
      </c>
      <c r="B14" s="3" t="str">
        <f>"20220120"</f>
        <v>20220120</v>
      </c>
      <c r="C14" s="3" t="str">
        <f t="shared" si="0"/>
        <v>0</v>
      </c>
      <c r="D14" s="3" t="str">
        <f t="shared" si="1"/>
        <v>00:00:00</v>
      </c>
      <c r="E14" s="3" t="str">
        <f t="shared" si="2"/>
        <v>港股通组合费</v>
      </c>
      <c r="H14" s="3">
        <v>0</v>
      </c>
      <c r="I14" s="3">
        <v>0</v>
      </c>
      <c r="J14" s="3">
        <v>0.05</v>
      </c>
      <c r="K14" s="3">
        <v>-0.05</v>
      </c>
      <c r="L14" s="3">
        <v>0</v>
      </c>
      <c r="M14" s="3">
        <v>0</v>
      </c>
      <c r="N14" s="3">
        <v>4.95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tr">
        <f t="shared" si="3"/>
        <v>0</v>
      </c>
      <c r="AA14" s="3" t="str">
        <f t="shared" si="4"/>
        <v>0</v>
      </c>
      <c r="AB14" s="3" t="str">
        <f t="shared" si="5"/>
        <v>人民币</v>
      </c>
      <c r="AC14" s="3" t="str">
        <f t="shared" si="6"/>
        <v>A368402599</v>
      </c>
    </row>
    <row r="15" spans="1:29">
      <c r="A15" s="3" t="str">
        <f>"20220121"</f>
        <v>20220121</v>
      </c>
      <c r="B15" s="3" t="str">
        <f>"20220121"</f>
        <v>20220121</v>
      </c>
      <c r="C15" s="3" t="str">
        <f t="shared" si="0"/>
        <v>0</v>
      </c>
      <c r="D15" s="3" t="str">
        <f t="shared" si="1"/>
        <v>00:00:00</v>
      </c>
      <c r="E15" s="3" t="str">
        <f t="shared" si="2"/>
        <v>港股通组合费</v>
      </c>
      <c r="H15" s="3">
        <v>0</v>
      </c>
      <c r="I15" s="3">
        <v>0</v>
      </c>
      <c r="J15" s="3">
        <v>0.05</v>
      </c>
      <c r="K15" s="3">
        <v>-0.05</v>
      </c>
      <c r="L15" s="3">
        <v>0</v>
      </c>
      <c r="M15" s="3">
        <v>0</v>
      </c>
      <c r="N15" s="3">
        <v>4.95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tr">
        <f t="shared" si="3"/>
        <v>0</v>
      </c>
      <c r="AA15" s="3" t="str">
        <f t="shared" si="4"/>
        <v>0</v>
      </c>
      <c r="AB15" s="3" t="str">
        <f t="shared" si="5"/>
        <v>人民币</v>
      </c>
      <c r="AC15" s="3" t="str">
        <f t="shared" si="6"/>
        <v>A368402599</v>
      </c>
    </row>
    <row r="16" spans="1:29">
      <c r="A16" s="3" t="str">
        <f>"20220124"</f>
        <v>20220124</v>
      </c>
      <c r="B16" s="3" t="str">
        <f>"20220124"</f>
        <v>20220124</v>
      </c>
      <c r="C16" s="3" t="str">
        <f t="shared" si="0"/>
        <v>0</v>
      </c>
      <c r="D16" s="3" t="str">
        <f t="shared" si="1"/>
        <v>00:00:00</v>
      </c>
      <c r="E16" s="3" t="str">
        <f t="shared" si="2"/>
        <v>港股通组合费</v>
      </c>
      <c r="H16" s="3">
        <v>0</v>
      </c>
      <c r="I16" s="3">
        <v>0</v>
      </c>
      <c r="J16" s="3">
        <v>0.15</v>
      </c>
      <c r="K16" s="3">
        <v>-0.15</v>
      </c>
      <c r="L16" s="3">
        <v>0</v>
      </c>
      <c r="M16" s="3">
        <v>0</v>
      </c>
      <c r="N16" s="3">
        <v>4.85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 t="str">
        <f t="shared" si="3"/>
        <v>0</v>
      </c>
      <c r="AA16" s="3" t="str">
        <f t="shared" si="4"/>
        <v>0</v>
      </c>
      <c r="AB16" s="3" t="str">
        <f t="shared" si="5"/>
        <v>人民币</v>
      </c>
      <c r="AC16" s="3" t="str">
        <f t="shared" si="6"/>
        <v>A368402599</v>
      </c>
    </row>
    <row r="17" spans="1:29">
      <c r="A17" s="3" t="str">
        <f>"20220125"</f>
        <v>20220125</v>
      </c>
      <c r="B17" s="3" t="str">
        <f>"20220125"</f>
        <v>20220125</v>
      </c>
      <c r="C17" s="3" t="str">
        <f t="shared" si="0"/>
        <v>0</v>
      </c>
      <c r="D17" s="3" t="str">
        <f t="shared" si="1"/>
        <v>00:00:00</v>
      </c>
      <c r="E17" s="3" t="str">
        <f t="shared" si="2"/>
        <v>港股通组合费</v>
      </c>
      <c r="H17" s="3">
        <v>0</v>
      </c>
      <c r="I17" s="3">
        <v>0</v>
      </c>
      <c r="J17" s="3">
        <v>0.05</v>
      </c>
      <c r="K17" s="3">
        <v>-0.05</v>
      </c>
      <c r="L17" s="3">
        <v>0</v>
      </c>
      <c r="M17" s="3">
        <v>0</v>
      </c>
      <c r="N17" s="3">
        <v>4.95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 t="str">
        <f t="shared" si="3"/>
        <v>0</v>
      </c>
      <c r="AA17" s="3" t="str">
        <f t="shared" si="4"/>
        <v>0</v>
      </c>
      <c r="AB17" s="3" t="str">
        <f t="shared" si="5"/>
        <v>人民币</v>
      </c>
      <c r="AC17" s="3" t="str">
        <f t="shared" si="6"/>
        <v>A368402599</v>
      </c>
    </row>
    <row r="18" spans="1:29">
      <c r="A18" s="3" t="str">
        <f>"20220126"</f>
        <v>20220126</v>
      </c>
      <c r="B18" s="3" t="str">
        <f>"20220126"</f>
        <v>20220126</v>
      </c>
      <c r="C18" s="3" t="str">
        <f t="shared" si="0"/>
        <v>0</v>
      </c>
      <c r="D18" s="3" t="str">
        <f t="shared" si="1"/>
        <v>00:00:00</v>
      </c>
      <c r="E18" s="3" t="str">
        <f t="shared" si="2"/>
        <v>港股通组合费</v>
      </c>
      <c r="H18" s="3">
        <v>0</v>
      </c>
      <c r="I18" s="3">
        <v>0</v>
      </c>
      <c r="J18" s="3">
        <v>0.05</v>
      </c>
      <c r="K18" s="3">
        <v>-0.05</v>
      </c>
      <c r="L18" s="3">
        <v>0</v>
      </c>
      <c r="M18" s="3">
        <v>0</v>
      </c>
      <c r="N18" s="3">
        <v>4.95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 t="str">
        <f t="shared" si="3"/>
        <v>0</v>
      </c>
      <c r="AA18" s="3" t="str">
        <f t="shared" si="4"/>
        <v>0</v>
      </c>
      <c r="AB18" s="3" t="str">
        <f t="shared" si="5"/>
        <v>人民币</v>
      </c>
      <c r="AC18" s="3" t="str">
        <f t="shared" si="6"/>
        <v>A368402599</v>
      </c>
    </row>
    <row r="19" spans="1:29">
      <c r="A19" s="3" t="str">
        <f>"20220127"</f>
        <v>20220127</v>
      </c>
      <c r="B19" s="3" t="str">
        <f>"20220127"</f>
        <v>20220127</v>
      </c>
      <c r="C19" s="3" t="str">
        <f t="shared" si="0"/>
        <v>0</v>
      </c>
      <c r="D19" s="3" t="str">
        <f t="shared" si="1"/>
        <v>00:00:00</v>
      </c>
      <c r="E19" s="3" t="str">
        <f t="shared" si="2"/>
        <v>港股通组合费</v>
      </c>
      <c r="H19" s="3">
        <v>0</v>
      </c>
      <c r="I19" s="3">
        <v>0</v>
      </c>
      <c r="J19" s="3">
        <v>0.05</v>
      </c>
      <c r="K19" s="3">
        <v>-0.05</v>
      </c>
      <c r="L19" s="3">
        <v>0</v>
      </c>
      <c r="M19" s="3">
        <v>0</v>
      </c>
      <c r="N19" s="3">
        <v>4.95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 t="str">
        <f t="shared" si="3"/>
        <v>0</v>
      </c>
      <c r="AA19" s="3" t="str">
        <f t="shared" si="4"/>
        <v>0</v>
      </c>
      <c r="AB19" s="3" t="str">
        <f t="shared" si="5"/>
        <v>人民币</v>
      </c>
      <c r="AC19" s="3" t="str">
        <f t="shared" si="6"/>
        <v>A368402599</v>
      </c>
    </row>
    <row r="20" spans="1:29">
      <c r="A20" s="3" t="str">
        <f>"20220128"</f>
        <v>20220128</v>
      </c>
      <c r="B20" s="3" t="str">
        <f>"20220128"</f>
        <v>20220128</v>
      </c>
      <c r="C20" s="3" t="str">
        <f t="shared" si="0"/>
        <v>0</v>
      </c>
      <c r="D20" s="3" t="str">
        <f t="shared" si="1"/>
        <v>00:00:00</v>
      </c>
      <c r="E20" s="3" t="str">
        <f t="shared" si="2"/>
        <v>港股通组合费</v>
      </c>
      <c r="H20" s="3">
        <v>0</v>
      </c>
      <c r="I20" s="3">
        <v>0</v>
      </c>
      <c r="J20" s="3">
        <v>0.05</v>
      </c>
      <c r="K20" s="3">
        <v>-0.05</v>
      </c>
      <c r="L20" s="3">
        <v>0</v>
      </c>
      <c r="M20" s="3">
        <v>0</v>
      </c>
      <c r="N20" s="3">
        <v>4.95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tr">
        <f t="shared" si="3"/>
        <v>0</v>
      </c>
      <c r="AA20" s="3" t="str">
        <f t="shared" si="4"/>
        <v>0</v>
      </c>
      <c r="AB20" s="3" t="str">
        <f t="shared" si="5"/>
        <v>人民币</v>
      </c>
      <c r="AC20" s="3" t="str">
        <f t="shared" si="6"/>
        <v>A368402599</v>
      </c>
    </row>
    <row r="21" spans="1:29">
      <c r="A21" s="3" t="str">
        <f>"20220207"</f>
        <v>20220207</v>
      </c>
      <c r="B21" s="3" t="str">
        <f>"20220207"</f>
        <v>20220207</v>
      </c>
      <c r="C21" s="3" t="str">
        <f t="shared" si="0"/>
        <v>0</v>
      </c>
      <c r="D21" s="3" t="str">
        <f t="shared" si="1"/>
        <v>00:00:00</v>
      </c>
      <c r="E21" s="3" t="str">
        <f t="shared" si="2"/>
        <v>港股通组合费</v>
      </c>
      <c r="H21" s="3">
        <v>0</v>
      </c>
      <c r="I21" s="3">
        <v>0</v>
      </c>
      <c r="J21" s="3">
        <v>0.49</v>
      </c>
      <c r="K21" s="3">
        <v>-0.49</v>
      </c>
      <c r="L21" s="3">
        <v>0</v>
      </c>
      <c r="M21" s="3">
        <v>0</v>
      </c>
      <c r="N21" s="3">
        <v>4.51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 t="str">
        <f t="shared" si="3"/>
        <v>0</v>
      </c>
      <c r="AA21" s="3" t="str">
        <f t="shared" si="4"/>
        <v>0</v>
      </c>
      <c r="AB21" s="3" t="str">
        <f t="shared" si="5"/>
        <v>人民币</v>
      </c>
      <c r="AC21" s="3" t="str">
        <f t="shared" si="6"/>
        <v>A368402599</v>
      </c>
    </row>
    <row r="22" spans="1:29">
      <c r="A22" s="3" t="str">
        <f>"20220208"</f>
        <v>20220208</v>
      </c>
      <c r="B22" s="3" t="str">
        <f>"20220208"</f>
        <v>20220208</v>
      </c>
      <c r="C22" s="3" t="str">
        <f t="shared" si="0"/>
        <v>0</v>
      </c>
      <c r="D22" s="3" t="str">
        <f t="shared" si="1"/>
        <v>00:00:00</v>
      </c>
      <c r="E22" s="3" t="str">
        <f t="shared" si="2"/>
        <v>港股通组合费</v>
      </c>
      <c r="H22" s="3">
        <v>0</v>
      </c>
      <c r="I22" s="3">
        <v>0</v>
      </c>
      <c r="J22" s="3">
        <v>0.05</v>
      </c>
      <c r="K22" s="3">
        <v>-0.05</v>
      </c>
      <c r="L22" s="3">
        <v>0</v>
      </c>
      <c r="M22" s="3">
        <v>0</v>
      </c>
      <c r="N22" s="3">
        <v>4.95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tr">
        <f t="shared" si="3"/>
        <v>0</v>
      </c>
      <c r="AA22" s="3" t="str">
        <f t="shared" si="4"/>
        <v>0</v>
      </c>
      <c r="AB22" s="3" t="str">
        <f t="shared" si="5"/>
        <v>人民币</v>
      </c>
      <c r="AC22" s="3" t="str">
        <f t="shared" si="6"/>
        <v>A368402599</v>
      </c>
    </row>
    <row r="23" spans="1:29">
      <c r="A23" s="3" t="str">
        <f>"20220209"</f>
        <v>20220209</v>
      </c>
      <c r="B23" s="3" t="str">
        <f>"20220209"</f>
        <v>20220209</v>
      </c>
      <c r="C23" s="3" t="str">
        <f t="shared" si="0"/>
        <v>0</v>
      </c>
      <c r="D23" s="3" t="str">
        <f t="shared" si="1"/>
        <v>00:00:00</v>
      </c>
      <c r="E23" s="3" t="str">
        <f t="shared" si="2"/>
        <v>港股通组合费</v>
      </c>
      <c r="H23" s="3">
        <v>0</v>
      </c>
      <c r="I23" s="3">
        <v>0</v>
      </c>
      <c r="J23" s="3">
        <v>0.05</v>
      </c>
      <c r="K23" s="3">
        <v>-0.05</v>
      </c>
      <c r="L23" s="3">
        <v>0</v>
      </c>
      <c r="M23" s="3">
        <v>0</v>
      </c>
      <c r="N23" s="3">
        <v>4.95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 t="str">
        <f t="shared" si="3"/>
        <v>0</v>
      </c>
      <c r="AA23" s="3" t="str">
        <f t="shared" si="4"/>
        <v>0</v>
      </c>
      <c r="AB23" s="3" t="str">
        <f t="shared" si="5"/>
        <v>人民币</v>
      </c>
      <c r="AC23" s="3" t="str">
        <f t="shared" si="6"/>
        <v>A368402599</v>
      </c>
    </row>
    <row r="24" spans="1:29">
      <c r="A24" s="3" t="str">
        <f>"20220210"</f>
        <v>20220210</v>
      </c>
      <c r="B24" s="3" t="str">
        <f>"20220210"</f>
        <v>20220210</v>
      </c>
      <c r="C24" s="3" t="str">
        <f t="shared" si="0"/>
        <v>0</v>
      </c>
      <c r="D24" s="3" t="str">
        <f t="shared" si="1"/>
        <v>00:00:00</v>
      </c>
      <c r="E24" s="3" t="str">
        <f t="shared" si="2"/>
        <v>港股通组合费</v>
      </c>
      <c r="H24" s="3">
        <v>0</v>
      </c>
      <c r="I24" s="3">
        <v>0</v>
      </c>
      <c r="J24" s="3">
        <v>0.05</v>
      </c>
      <c r="K24" s="3">
        <v>-0.05</v>
      </c>
      <c r="L24" s="3">
        <v>0</v>
      </c>
      <c r="M24" s="3">
        <v>0</v>
      </c>
      <c r="N24" s="3">
        <v>4.95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tr">
        <f t="shared" si="3"/>
        <v>0</v>
      </c>
      <c r="AA24" s="3" t="str">
        <f t="shared" si="4"/>
        <v>0</v>
      </c>
      <c r="AB24" s="3" t="str">
        <f t="shared" si="5"/>
        <v>人民币</v>
      </c>
      <c r="AC24" s="3" t="str">
        <f t="shared" si="6"/>
        <v>A368402599</v>
      </c>
    </row>
    <row r="25" spans="1:29">
      <c r="A25" s="3" t="str">
        <f>"20220211"</f>
        <v>20220211</v>
      </c>
      <c r="B25" s="3" t="str">
        <f>"20220211"</f>
        <v>20220211</v>
      </c>
      <c r="C25" s="3" t="str">
        <f t="shared" si="0"/>
        <v>0</v>
      </c>
      <c r="D25" s="3" t="str">
        <f t="shared" si="1"/>
        <v>00:00:00</v>
      </c>
      <c r="E25" s="3" t="str">
        <f t="shared" si="2"/>
        <v>港股通组合费</v>
      </c>
      <c r="H25" s="3">
        <v>0</v>
      </c>
      <c r="I25" s="3">
        <v>0</v>
      </c>
      <c r="J25" s="3">
        <v>0.05</v>
      </c>
      <c r="K25" s="3">
        <v>-0.05</v>
      </c>
      <c r="L25" s="3">
        <v>0</v>
      </c>
      <c r="M25" s="3">
        <v>0</v>
      </c>
      <c r="N25" s="3">
        <v>4.95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 t="str">
        <f t="shared" si="3"/>
        <v>0</v>
      </c>
      <c r="AA25" s="3" t="str">
        <f t="shared" si="4"/>
        <v>0</v>
      </c>
      <c r="AB25" s="3" t="str">
        <f t="shared" si="5"/>
        <v>人民币</v>
      </c>
      <c r="AC25" s="3" t="str">
        <f t="shared" si="6"/>
        <v>A368402599</v>
      </c>
    </row>
    <row r="26" spans="1:29">
      <c r="A26" s="3" t="str">
        <f>"20220214"</f>
        <v>20220214</v>
      </c>
      <c r="B26" s="3" t="str">
        <f>"20220214"</f>
        <v>20220214</v>
      </c>
      <c r="C26" s="3" t="str">
        <f t="shared" si="0"/>
        <v>0</v>
      </c>
      <c r="D26" s="3" t="str">
        <f t="shared" si="1"/>
        <v>00:00:00</v>
      </c>
      <c r="E26" s="3" t="str">
        <f t="shared" si="2"/>
        <v>港股通组合费</v>
      </c>
      <c r="H26" s="3">
        <v>0</v>
      </c>
      <c r="I26" s="3">
        <v>0</v>
      </c>
      <c r="J26" s="3">
        <v>0.15</v>
      </c>
      <c r="K26" s="3">
        <v>-0.15</v>
      </c>
      <c r="L26" s="3">
        <v>0</v>
      </c>
      <c r="M26" s="3">
        <v>0</v>
      </c>
      <c r="N26" s="3">
        <v>4.85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 t="str">
        <f t="shared" si="3"/>
        <v>0</v>
      </c>
      <c r="AA26" s="3" t="str">
        <f t="shared" si="4"/>
        <v>0</v>
      </c>
      <c r="AB26" s="3" t="str">
        <f t="shared" si="5"/>
        <v>人民币</v>
      </c>
      <c r="AC26" s="3" t="str">
        <f t="shared" si="6"/>
        <v>A368402599</v>
      </c>
    </row>
    <row r="27" spans="1:29">
      <c r="A27" s="3" t="str">
        <f>"20220215"</f>
        <v>20220215</v>
      </c>
      <c r="B27" s="3" t="str">
        <f>"20220215"</f>
        <v>20220215</v>
      </c>
      <c r="C27" s="3" t="str">
        <f t="shared" si="0"/>
        <v>0</v>
      </c>
      <c r="D27" s="3" t="str">
        <f t="shared" si="1"/>
        <v>00:00:00</v>
      </c>
      <c r="E27" s="3" t="str">
        <f t="shared" si="2"/>
        <v>港股通组合费</v>
      </c>
      <c r="H27" s="3">
        <v>0</v>
      </c>
      <c r="I27" s="3">
        <v>0</v>
      </c>
      <c r="J27" s="3">
        <v>0.05</v>
      </c>
      <c r="K27" s="3">
        <v>-0.05</v>
      </c>
      <c r="L27" s="3">
        <v>0</v>
      </c>
      <c r="M27" s="3">
        <v>0</v>
      </c>
      <c r="N27" s="3">
        <v>4.95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 t="str">
        <f t="shared" si="3"/>
        <v>0</v>
      </c>
      <c r="AA27" s="3" t="str">
        <f t="shared" si="4"/>
        <v>0</v>
      </c>
      <c r="AB27" s="3" t="str">
        <f t="shared" si="5"/>
        <v>人民币</v>
      </c>
      <c r="AC27" s="3" t="str">
        <f t="shared" si="6"/>
        <v>A368402599</v>
      </c>
    </row>
    <row r="28" spans="1:29">
      <c r="A28" s="3" t="str">
        <f>"20220216"</f>
        <v>20220216</v>
      </c>
      <c r="B28" s="3" t="str">
        <f>"20220216"</f>
        <v>20220216</v>
      </c>
      <c r="C28" s="3" t="str">
        <f t="shared" si="0"/>
        <v>0</v>
      </c>
      <c r="D28" s="3" t="str">
        <f t="shared" si="1"/>
        <v>00:00:00</v>
      </c>
      <c r="E28" s="3" t="str">
        <f t="shared" si="2"/>
        <v>港股通组合费</v>
      </c>
      <c r="H28" s="3">
        <v>0</v>
      </c>
      <c r="I28" s="3">
        <v>0</v>
      </c>
      <c r="J28" s="3">
        <v>0.05</v>
      </c>
      <c r="K28" s="3">
        <v>-0.05</v>
      </c>
      <c r="L28" s="3">
        <v>0</v>
      </c>
      <c r="M28" s="3">
        <v>0</v>
      </c>
      <c r="N28" s="3">
        <v>4.95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 t="str">
        <f t="shared" si="3"/>
        <v>0</v>
      </c>
      <c r="AA28" s="3" t="str">
        <f t="shared" si="4"/>
        <v>0</v>
      </c>
      <c r="AB28" s="3" t="str">
        <f t="shared" si="5"/>
        <v>人民币</v>
      </c>
      <c r="AC28" s="3" t="str">
        <f t="shared" si="6"/>
        <v>A368402599</v>
      </c>
    </row>
    <row r="29" spans="1:29">
      <c r="A29" s="3" t="str">
        <f>"20220217"</f>
        <v>20220217</v>
      </c>
      <c r="B29" s="3" t="str">
        <f>"20220217"</f>
        <v>20220217</v>
      </c>
      <c r="C29" s="3" t="str">
        <f t="shared" si="0"/>
        <v>0</v>
      </c>
      <c r="D29" s="3" t="str">
        <f t="shared" si="1"/>
        <v>00:00:00</v>
      </c>
      <c r="E29" s="3" t="str">
        <f t="shared" si="2"/>
        <v>港股通组合费</v>
      </c>
      <c r="H29" s="3">
        <v>0</v>
      </c>
      <c r="I29" s="3">
        <v>0</v>
      </c>
      <c r="J29" s="3">
        <v>0.05</v>
      </c>
      <c r="K29" s="3">
        <v>-0.05</v>
      </c>
      <c r="L29" s="3">
        <v>0</v>
      </c>
      <c r="M29" s="3">
        <v>0</v>
      </c>
      <c r="N29" s="3">
        <v>4.95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tr">
        <f t="shared" si="3"/>
        <v>0</v>
      </c>
      <c r="AA29" s="3" t="str">
        <f t="shared" si="4"/>
        <v>0</v>
      </c>
      <c r="AB29" s="3" t="str">
        <f t="shared" si="5"/>
        <v>人民币</v>
      </c>
      <c r="AC29" s="3" t="str">
        <f t="shared" si="6"/>
        <v>A368402599</v>
      </c>
    </row>
    <row r="30" spans="1:29">
      <c r="A30" s="3" t="str">
        <f>"20220218"</f>
        <v>20220218</v>
      </c>
      <c r="B30" s="3" t="str">
        <f>"20220218"</f>
        <v>20220218</v>
      </c>
      <c r="C30" s="3" t="str">
        <f t="shared" si="0"/>
        <v>0</v>
      </c>
      <c r="D30" s="3" t="str">
        <f t="shared" si="1"/>
        <v>00:00:00</v>
      </c>
      <c r="E30" s="3" t="str">
        <f t="shared" si="2"/>
        <v>港股通组合费</v>
      </c>
      <c r="H30" s="3">
        <v>0</v>
      </c>
      <c r="I30" s="3">
        <v>0</v>
      </c>
      <c r="J30" s="3">
        <v>0.05</v>
      </c>
      <c r="K30" s="3">
        <v>-0.05</v>
      </c>
      <c r="L30" s="3">
        <v>0</v>
      </c>
      <c r="M30" s="3">
        <v>0</v>
      </c>
      <c r="N30" s="3">
        <v>4.95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 t="str">
        <f t="shared" si="3"/>
        <v>0</v>
      </c>
      <c r="AA30" s="3" t="str">
        <f t="shared" si="4"/>
        <v>0</v>
      </c>
      <c r="AB30" s="3" t="str">
        <f t="shared" si="5"/>
        <v>人民币</v>
      </c>
      <c r="AC30" s="3" t="str">
        <f t="shared" si="6"/>
        <v>A368402599</v>
      </c>
    </row>
    <row r="31" spans="1:29">
      <c r="A31" s="3" t="str">
        <f>"20220221"</f>
        <v>20220221</v>
      </c>
      <c r="B31" s="3" t="str">
        <f>"20220221"</f>
        <v>20220221</v>
      </c>
      <c r="C31" s="3" t="str">
        <f t="shared" si="0"/>
        <v>0</v>
      </c>
      <c r="D31" s="3" t="str">
        <f t="shared" si="1"/>
        <v>00:00:00</v>
      </c>
      <c r="E31" s="3" t="str">
        <f t="shared" si="2"/>
        <v>港股通组合费</v>
      </c>
      <c r="H31" s="3">
        <v>0</v>
      </c>
      <c r="I31" s="3">
        <v>0</v>
      </c>
      <c r="J31" s="3">
        <v>0.15</v>
      </c>
      <c r="K31" s="3">
        <v>-0.15</v>
      </c>
      <c r="L31" s="3">
        <v>0</v>
      </c>
      <c r="M31" s="3">
        <v>0</v>
      </c>
      <c r="N31" s="3">
        <v>4.85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 t="str">
        <f t="shared" si="3"/>
        <v>0</v>
      </c>
      <c r="AA31" s="3" t="str">
        <f t="shared" si="4"/>
        <v>0</v>
      </c>
      <c r="AB31" s="3" t="str">
        <f t="shared" si="5"/>
        <v>人民币</v>
      </c>
      <c r="AC31" s="3" t="str">
        <f t="shared" si="6"/>
        <v>A368402599</v>
      </c>
    </row>
    <row r="32" spans="1:29">
      <c r="A32" s="3" t="str">
        <f>"20220222"</f>
        <v>20220222</v>
      </c>
      <c r="B32" s="3" t="str">
        <f>"20220222"</f>
        <v>20220222</v>
      </c>
      <c r="C32" s="3" t="str">
        <f t="shared" si="0"/>
        <v>0</v>
      </c>
      <c r="D32" s="3" t="str">
        <f t="shared" si="1"/>
        <v>00:00:00</v>
      </c>
      <c r="E32" s="3" t="str">
        <f t="shared" si="2"/>
        <v>港股通组合费</v>
      </c>
      <c r="H32" s="3">
        <v>0</v>
      </c>
      <c r="I32" s="3">
        <v>0</v>
      </c>
      <c r="J32" s="3">
        <v>0.05</v>
      </c>
      <c r="K32" s="3">
        <v>-0.05</v>
      </c>
      <c r="L32" s="3">
        <v>0</v>
      </c>
      <c r="M32" s="3">
        <v>0</v>
      </c>
      <c r="N32" s="3">
        <v>4.95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tr">
        <f t="shared" si="3"/>
        <v>0</v>
      </c>
      <c r="AA32" s="3" t="str">
        <f t="shared" si="4"/>
        <v>0</v>
      </c>
      <c r="AB32" s="3" t="str">
        <f t="shared" si="5"/>
        <v>人民币</v>
      </c>
      <c r="AC32" s="3" t="str">
        <f t="shared" si="6"/>
        <v>A368402599</v>
      </c>
    </row>
    <row r="33" spans="1:29">
      <c r="A33" s="3" t="str">
        <f>"20220223"</f>
        <v>20220223</v>
      </c>
      <c r="B33" s="3" t="str">
        <f>"20220223"</f>
        <v>20220223</v>
      </c>
      <c r="C33" s="3" t="str">
        <f t="shared" si="0"/>
        <v>0</v>
      </c>
      <c r="D33" s="3" t="str">
        <f t="shared" si="1"/>
        <v>00:00:00</v>
      </c>
      <c r="E33" s="3" t="str">
        <f t="shared" si="2"/>
        <v>港股通组合费</v>
      </c>
      <c r="H33" s="3">
        <v>0</v>
      </c>
      <c r="I33" s="3">
        <v>0</v>
      </c>
      <c r="J33" s="3">
        <v>0.05</v>
      </c>
      <c r="K33" s="3">
        <v>-0.05</v>
      </c>
      <c r="L33" s="3">
        <v>0</v>
      </c>
      <c r="M33" s="3">
        <v>0</v>
      </c>
      <c r="N33" s="3">
        <v>4.95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 t="str">
        <f t="shared" si="3"/>
        <v>0</v>
      </c>
      <c r="AA33" s="3" t="str">
        <f t="shared" si="4"/>
        <v>0</v>
      </c>
      <c r="AB33" s="3" t="str">
        <f t="shared" si="5"/>
        <v>人民币</v>
      </c>
      <c r="AC33" s="3" t="str">
        <f t="shared" si="6"/>
        <v>A368402599</v>
      </c>
    </row>
    <row r="34" spans="1:29">
      <c r="A34" s="3" t="str">
        <f>"20220224"</f>
        <v>20220224</v>
      </c>
      <c r="B34" s="3" t="str">
        <f>"20220224"</f>
        <v>20220224</v>
      </c>
      <c r="C34" s="3" t="str">
        <f t="shared" si="0"/>
        <v>0</v>
      </c>
      <c r="D34" s="3" t="str">
        <f t="shared" si="1"/>
        <v>00:00:00</v>
      </c>
      <c r="E34" s="3" t="str">
        <f t="shared" si="2"/>
        <v>港股通组合费</v>
      </c>
      <c r="H34" s="3">
        <v>0</v>
      </c>
      <c r="I34" s="3">
        <v>0</v>
      </c>
      <c r="J34" s="3">
        <v>0.05</v>
      </c>
      <c r="K34" s="3">
        <v>-0.05</v>
      </c>
      <c r="L34" s="3">
        <v>0</v>
      </c>
      <c r="M34" s="3">
        <v>0</v>
      </c>
      <c r="N34" s="3">
        <v>4.95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 t="str">
        <f t="shared" si="3"/>
        <v>0</v>
      </c>
      <c r="AA34" s="3" t="str">
        <f t="shared" si="4"/>
        <v>0</v>
      </c>
      <c r="AB34" s="3" t="str">
        <f t="shared" si="5"/>
        <v>人民币</v>
      </c>
      <c r="AC34" s="3" t="str">
        <f t="shared" si="6"/>
        <v>A368402599</v>
      </c>
    </row>
    <row r="35" spans="1:29">
      <c r="A35" s="3" t="str">
        <f>"20220225"</f>
        <v>20220225</v>
      </c>
      <c r="B35" s="3" t="str">
        <f>"20220225"</f>
        <v>20220225</v>
      </c>
      <c r="C35" s="3" t="str">
        <f t="shared" si="0"/>
        <v>0</v>
      </c>
      <c r="D35" s="3" t="str">
        <f t="shared" si="1"/>
        <v>00:00:00</v>
      </c>
      <c r="E35" s="3" t="str">
        <f t="shared" si="2"/>
        <v>港股通组合费</v>
      </c>
      <c r="H35" s="3">
        <v>0</v>
      </c>
      <c r="I35" s="3">
        <v>0</v>
      </c>
      <c r="J35" s="3">
        <v>0.05</v>
      </c>
      <c r="K35" s="3">
        <v>-0.05</v>
      </c>
      <c r="L35" s="3">
        <v>0</v>
      </c>
      <c r="M35" s="3">
        <v>0</v>
      </c>
      <c r="N35" s="3">
        <v>4.95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 t="str">
        <f t="shared" si="3"/>
        <v>0</v>
      </c>
      <c r="AA35" s="3" t="str">
        <f t="shared" si="4"/>
        <v>0</v>
      </c>
      <c r="AB35" s="3" t="str">
        <f t="shared" si="5"/>
        <v>人民币</v>
      </c>
      <c r="AC35" s="3" t="str">
        <f t="shared" si="6"/>
        <v>A368402599</v>
      </c>
    </row>
    <row r="36" spans="1:29">
      <c r="A36" s="3" t="str">
        <f>"20220228"</f>
        <v>20220228</v>
      </c>
      <c r="B36" s="3" t="str">
        <f>"20220228"</f>
        <v>20220228</v>
      </c>
      <c r="C36" s="3" t="str">
        <f t="shared" si="0"/>
        <v>0</v>
      </c>
      <c r="D36" s="3" t="str">
        <f t="shared" si="1"/>
        <v>00:00:00</v>
      </c>
      <c r="E36" s="3" t="str">
        <f t="shared" si="2"/>
        <v>港股通组合费</v>
      </c>
      <c r="H36" s="3">
        <v>0</v>
      </c>
      <c r="I36" s="3">
        <v>0</v>
      </c>
      <c r="J36" s="3">
        <v>0.15</v>
      </c>
      <c r="K36" s="3">
        <v>-0.15</v>
      </c>
      <c r="L36" s="3">
        <v>0</v>
      </c>
      <c r="M36" s="3">
        <v>0</v>
      </c>
      <c r="N36" s="3">
        <v>4.85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 t="str">
        <f t="shared" si="3"/>
        <v>0</v>
      </c>
      <c r="AA36" s="3" t="str">
        <f t="shared" si="4"/>
        <v>0</v>
      </c>
      <c r="AB36" s="3" t="str">
        <f t="shared" si="5"/>
        <v>人民币</v>
      </c>
      <c r="AC36" s="3" t="str">
        <f t="shared" si="6"/>
        <v>A368402599</v>
      </c>
    </row>
    <row r="37" spans="1:29">
      <c r="A37" s="3" t="str">
        <f>"20220301"</f>
        <v>20220301</v>
      </c>
      <c r="B37" s="3" t="str">
        <f>"20220301"</f>
        <v>20220301</v>
      </c>
      <c r="C37" s="3" t="str">
        <f t="shared" si="0"/>
        <v>0</v>
      </c>
      <c r="D37" s="3" t="str">
        <f t="shared" si="1"/>
        <v>00:00:00</v>
      </c>
      <c r="E37" s="3" t="str">
        <f t="shared" si="2"/>
        <v>港股通组合费</v>
      </c>
      <c r="H37" s="3">
        <v>0</v>
      </c>
      <c r="I37" s="3">
        <v>0</v>
      </c>
      <c r="J37" s="3">
        <v>0.05</v>
      </c>
      <c r="K37" s="3">
        <v>-0.05</v>
      </c>
      <c r="L37" s="3">
        <v>0</v>
      </c>
      <c r="M37" s="3">
        <v>0</v>
      </c>
      <c r="N37" s="3">
        <v>4.95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 t="str">
        <f t="shared" si="3"/>
        <v>0</v>
      </c>
      <c r="AA37" s="3" t="str">
        <f t="shared" si="4"/>
        <v>0</v>
      </c>
      <c r="AB37" s="3" t="str">
        <f t="shared" si="5"/>
        <v>人民币</v>
      </c>
      <c r="AC37" s="3" t="str">
        <f t="shared" si="6"/>
        <v>A368402599</v>
      </c>
    </row>
    <row r="38" spans="1:29">
      <c r="A38" s="3" t="str">
        <f>"20220302"</f>
        <v>20220302</v>
      </c>
      <c r="B38" s="3" t="str">
        <f>"20220302"</f>
        <v>20220302</v>
      </c>
      <c r="C38" s="3" t="str">
        <f t="shared" si="0"/>
        <v>0</v>
      </c>
      <c r="D38" s="3" t="str">
        <f t="shared" si="1"/>
        <v>00:00:00</v>
      </c>
      <c r="E38" s="3" t="str">
        <f t="shared" si="2"/>
        <v>港股通组合费</v>
      </c>
      <c r="H38" s="3">
        <v>0</v>
      </c>
      <c r="I38" s="3">
        <v>0</v>
      </c>
      <c r="J38" s="3">
        <v>0.05</v>
      </c>
      <c r="K38" s="3">
        <v>-0.05</v>
      </c>
      <c r="L38" s="3">
        <v>0</v>
      </c>
      <c r="M38" s="3">
        <v>0</v>
      </c>
      <c r="N38" s="3">
        <v>4.95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 t="str">
        <f t="shared" si="3"/>
        <v>0</v>
      </c>
      <c r="AA38" s="3" t="str">
        <f t="shared" si="4"/>
        <v>0</v>
      </c>
      <c r="AB38" s="3" t="str">
        <f t="shared" si="5"/>
        <v>人民币</v>
      </c>
      <c r="AC38" s="3" t="str">
        <f t="shared" si="6"/>
        <v>A368402599</v>
      </c>
    </row>
    <row r="39" spans="1:29">
      <c r="A39" s="3" t="str">
        <f>"20220303"</f>
        <v>20220303</v>
      </c>
      <c r="B39" s="3" t="str">
        <f>"20220303"</f>
        <v>20220303</v>
      </c>
      <c r="C39" s="3" t="str">
        <f t="shared" si="0"/>
        <v>0</v>
      </c>
      <c r="D39" s="3" t="str">
        <f t="shared" si="1"/>
        <v>00:00:00</v>
      </c>
      <c r="E39" s="3" t="str">
        <f t="shared" si="2"/>
        <v>港股通组合费</v>
      </c>
      <c r="H39" s="3">
        <v>0</v>
      </c>
      <c r="I39" s="3">
        <v>0</v>
      </c>
      <c r="J39" s="3">
        <v>0.05</v>
      </c>
      <c r="K39" s="3">
        <v>-0.05</v>
      </c>
      <c r="L39" s="3">
        <v>0</v>
      </c>
      <c r="M39" s="3">
        <v>0</v>
      </c>
      <c r="N39" s="3">
        <v>4.95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 t="str">
        <f t="shared" si="3"/>
        <v>0</v>
      </c>
      <c r="AA39" s="3" t="str">
        <f t="shared" si="4"/>
        <v>0</v>
      </c>
      <c r="AB39" s="3" t="str">
        <f t="shared" si="5"/>
        <v>人民币</v>
      </c>
      <c r="AC39" s="3" t="str">
        <f t="shared" si="6"/>
        <v>A368402599</v>
      </c>
    </row>
    <row r="40" spans="1:29">
      <c r="A40" s="3" t="str">
        <f>"20220304"</f>
        <v>20220304</v>
      </c>
      <c r="B40" s="3" t="str">
        <f>"20220304"</f>
        <v>20220304</v>
      </c>
      <c r="C40" s="3" t="str">
        <f t="shared" si="0"/>
        <v>0</v>
      </c>
      <c r="D40" s="3" t="str">
        <f t="shared" si="1"/>
        <v>00:00:00</v>
      </c>
      <c r="E40" s="3" t="str">
        <f t="shared" si="2"/>
        <v>港股通组合费</v>
      </c>
      <c r="H40" s="3">
        <v>0</v>
      </c>
      <c r="I40" s="3">
        <v>0</v>
      </c>
      <c r="J40" s="3">
        <v>0.05</v>
      </c>
      <c r="K40" s="3">
        <v>-0.05</v>
      </c>
      <c r="L40" s="3">
        <v>0</v>
      </c>
      <c r="M40" s="3">
        <v>0</v>
      </c>
      <c r="N40" s="3">
        <v>4.95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 t="str">
        <f t="shared" si="3"/>
        <v>0</v>
      </c>
      <c r="AA40" s="3" t="str">
        <f t="shared" si="4"/>
        <v>0</v>
      </c>
      <c r="AB40" s="3" t="str">
        <f t="shared" si="5"/>
        <v>人民币</v>
      </c>
      <c r="AC40" s="3" t="str">
        <f t="shared" si="6"/>
        <v>A368402599</v>
      </c>
    </row>
    <row r="41" spans="1:29">
      <c r="A41" s="3" t="str">
        <f>"20220307"</f>
        <v>20220307</v>
      </c>
      <c r="B41" s="3" t="str">
        <f>"20220307"</f>
        <v>20220307</v>
      </c>
      <c r="C41" s="3" t="str">
        <f t="shared" si="0"/>
        <v>0</v>
      </c>
      <c r="D41" s="3" t="str">
        <f t="shared" si="1"/>
        <v>00:00:00</v>
      </c>
      <c r="E41" s="3" t="str">
        <f t="shared" si="2"/>
        <v>港股通组合费</v>
      </c>
      <c r="H41" s="3">
        <v>0</v>
      </c>
      <c r="I41" s="3">
        <v>0</v>
      </c>
      <c r="J41" s="3">
        <v>0.15</v>
      </c>
      <c r="K41" s="3">
        <v>-0.15</v>
      </c>
      <c r="L41" s="3">
        <v>0</v>
      </c>
      <c r="M41" s="3">
        <v>0</v>
      </c>
      <c r="N41" s="3">
        <v>4.85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 t="str">
        <f t="shared" si="3"/>
        <v>0</v>
      </c>
      <c r="AA41" s="3" t="str">
        <f t="shared" si="4"/>
        <v>0</v>
      </c>
      <c r="AB41" s="3" t="str">
        <f t="shared" si="5"/>
        <v>人民币</v>
      </c>
      <c r="AC41" s="3" t="str">
        <f t="shared" si="6"/>
        <v>A368402599</v>
      </c>
    </row>
    <row r="42" spans="1:29">
      <c r="A42" s="3" t="str">
        <f>"20220308"</f>
        <v>20220308</v>
      </c>
      <c r="B42" s="3" t="str">
        <f>"20220308"</f>
        <v>20220308</v>
      </c>
      <c r="C42" s="3" t="str">
        <f t="shared" si="0"/>
        <v>0</v>
      </c>
      <c r="D42" s="3" t="str">
        <f t="shared" si="1"/>
        <v>00:00:00</v>
      </c>
      <c r="E42" s="3" t="str">
        <f t="shared" si="2"/>
        <v>港股通组合费</v>
      </c>
      <c r="H42" s="3">
        <v>0</v>
      </c>
      <c r="I42" s="3">
        <v>0</v>
      </c>
      <c r="J42" s="3">
        <v>0.05</v>
      </c>
      <c r="K42" s="3">
        <v>-0.05</v>
      </c>
      <c r="L42" s="3">
        <v>0</v>
      </c>
      <c r="M42" s="3">
        <v>0</v>
      </c>
      <c r="N42" s="3">
        <v>4.95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tr">
        <f t="shared" si="3"/>
        <v>0</v>
      </c>
      <c r="AA42" s="3" t="str">
        <f t="shared" si="4"/>
        <v>0</v>
      </c>
      <c r="AB42" s="3" t="str">
        <f t="shared" si="5"/>
        <v>人民币</v>
      </c>
      <c r="AC42" s="3" t="str">
        <f t="shared" si="6"/>
        <v>A368402599</v>
      </c>
    </row>
    <row r="43" spans="1:29">
      <c r="A43" s="3" t="str">
        <f>"20220309"</f>
        <v>20220309</v>
      </c>
      <c r="B43" s="3" t="str">
        <f>"20220309"</f>
        <v>20220309</v>
      </c>
      <c r="C43" s="3" t="str">
        <f t="shared" si="0"/>
        <v>0</v>
      </c>
      <c r="D43" s="3" t="str">
        <f t="shared" si="1"/>
        <v>00:00:00</v>
      </c>
      <c r="E43" s="3" t="str">
        <f t="shared" si="2"/>
        <v>港股通组合费</v>
      </c>
      <c r="H43" s="3">
        <v>0</v>
      </c>
      <c r="I43" s="3">
        <v>0</v>
      </c>
      <c r="J43" s="3">
        <v>0.05</v>
      </c>
      <c r="K43" s="3">
        <v>-0.05</v>
      </c>
      <c r="L43" s="3">
        <v>0</v>
      </c>
      <c r="M43" s="3">
        <v>0</v>
      </c>
      <c r="N43" s="3">
        <v>4.95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tr">
        <f t="shared" si="3"/>
        <v>0</v>
      </c>
      <c r="AA43" s="3" t="str">
        <f t="shared" si="4"/>
        <v>0</v>
      </c>
      <c r="AB43" s="3" t="str">
        <f t="shared" si="5"/>
        <v>人民币</v>
      </c>
      <c r="AC43" s="3" t="str">
        <f t="shared" si="6"/>
        <v>A368402599</v>
      </c>
    </row>
    <row r="44" spans="1:29">
      <c r="A44" s="3" t="str">
        <f>"20220310"</f>
        <v>20220310</v>
      </c>
      <c r="B44" s="3" t="str">
        <f>"20220310"</f>
        <v>20220310</v>
      </c>
      <c r="C44" s="3" t="str">
        <f t="shared" si="0"/>
        <v>0</v>
      </c>
      <c r="D44" s="3" t="str">
        <f t="shared" si="1"/>
        <v>00:00:00</v>
      </c>
      <c r="E44" s="3" t="str">
        <f t="shared" si="2"/>
        <v>港股通组合费</v>
      </c>
      <c r="H44" s="3">
        <v>0</v>
      </c>
      <c r="I44" s="3">
        <v>0</v>
      </c>
      <c r="J44" s="3">
        <v>0.04</v>
      </c>
      <c r="K44" s="3">
        <v>-0.04</v>
      </c>
      <c r="L44" s="3">
        <v>0</v>
      </c>
      <c r="M44" s="3">
        <v>0</v>
      </c>
      <c r="N44" s="3">
        <v>4.96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tr">
        <f t="shared" si="3"/>
        <v>0</v>
      </c>
      <c r="AA44" s="3" t="str">
        <f t="shared" si="4"/>
        <v>0</v>
      </c>
      <c r="AB44" s="3" t="str">
        <f t="shared" si="5"/>
        <v>人民币</v>
      </c>
      <c r="AC44" s="3" t="str">
        <f t="shared" si="6"/>
        <v>A368402599</v>
      </c>
    </row>
    <row r="45" spans="1:29">
      <c r="A45" s="3" t="str">
        <f>"20220311"</f>
        <v>20220311</v>
      </c>
      <c r="B45" s="3" t="str">
        <f>"20220311"</f>
        <v>20220311</v>
      </c>
      <c r="C45" s="3" t="str">
        <f t="shared" si="0"/>
        <v>0</v>
      </c>
      <c r="D45" s="3" t="str">
        <f t="shared" si="1"/>
        <v>00:00:00</v>
      </c>
      <c r="E45" s="3" t="str">
        <f t="shared" si="2"/>
        <v>港股通组合费</v>
      </c>
      <c r="H45" s="3">
        <v>0</v>
      </c>
      <c r="I45" s="3">
        <v>0</v>
      </c>
      <c r="J45" s="3">
        <v>0.05</v>
      </c>
      <c r="K45" s="3">
        <v>-0.05</v>
      </c>
      <c r="L45" s="3">
        <v>0</v>
      </c>
      <c r="M45" s="3">
        <v>0</v>
      </c>
      <c r="N45" s="3">
        <v>4.95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tr">
        <f t="shared" si="3"/>
        <v>0</v>
      </c>
      <c r="AA45" s="3" t="str">
        <f t="shared" si="4"/>
        <v>0</v>
      </c>
      <c r="AB45" s="3" t="str">
        <f t="shared" si="5"/>
        <v>人民币</v>
      </c>
      <c r="AC45" s="3" t="str">
        <f t="shared" si="6"/>
        <v>A368402599</v>
      </c>
    </row>
    <row r="46" spans="1:29">
      <c r="A46" s="3" t="str">
        <f>"20220314"</f>
        <v>20220314</v>
      </c>
      <c r="B46" s="3" t="str">
        <f>"20220314"</f>
        <v>20220314</v>
      </c>
      <c r="C46" s="3" t="str">
        <f t="shared" si="0"/>
        <v>0</v>
      </c>
      <c r="D46" s="3" t="str">
        <f t="shared" si="1"/>
        <v>00:00:00</v>
      </c>
      <c r="E46" s="3" t="str">
        <f t="shared" si="2"/>
        <v>港股通组合费</v>
      </c>
      <c r="H46" s="3">
        <v>0</v>
      </c>
      <c r="I46" s="3">
        <v>0</v>
      </c>
      <c r="J46" s="3">
        <v>0.12</v>
      </c>
      <c r="K46" s="3">
        <v>-0.12</v>
      </c>
      <c r="L46" s="3">
        <v>0</v>
      </c>
      <c r="M46" s="3">
        <v>0</v>
      </c>
      <c r="N46" s="3">
        <v>4.88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 t="str">
        <f t="shared" si="3"/>
        <v>0</v>
      </c>
      <c r="AA46" s="3" t="str">
        <f t="shared" si="4"/>
        <v>0</v>
      </c>
      <c r="AB46" s="3" t="str">
        <f t="shared" si="5"/>
        <v>人民币</v>
      </c>
      <c r="AC46" s="3" t="str">
        <f t="shared" si="6"/>
        <v>A368402599</v>
      </c>
    </row>
    <row r="47" spans="1:29">
      <c r="A47" s="3" t="str">
        <f>"20220315"</f>
        <v>20220315</v>
      </c>
      <c r="B47" s="3" t="str">
        <f>"20220315"</f>
        <v>20220315</v>
      </c>
      <c r="C47" s="3" t="str">
        <f t="shared" si="0"/>
        <v>0</v>
      </c>
      <c r="D47" s="3" t="str">
        <f t="shared" si="1"/>
        <v>00:00:00</v>
      </c>
      <c r="E47" s="3" t="str">
        <f t="shared" si="2"/>
        <v>港股通组合费</v>
      </c>
      <c r="H47" s="3">
        <v>0</v>
      </c>
      <c r="I47" s="3">
        <v>0</v>
      </c>
      <c r="J47" s="3">
        <v>0.04</v>
      </c>
      <c r="K47" s="3">
        <v>-0.04</v>
      </c>
      <c r="L47" s="3">
        <v>0</v>
      </c>
      <c r="M47" s="3">
        <v>0</v>
      </c>
      <c r="N47" s="3">
        <v>4.96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tr">
        <f t="shared" si="3"/>
        <v>0</v>
      </c>
      <c r="AA47" s="3" t="str">
        <f t="shared" si="4"/>
        <v>0</v>
      </c>
      <c r="AB47" s="3" t="str">
        <f t="shared" si="5"/>
        <v>人民币</v>
      </c>
      <c r="AC47" s="3" t="str">
        <f t="shared" si="6"/>
        <v>A368402599</v>
      </c>
    </row>
    <row r="48" spans="1:29">
      <c r="A48" s="3" t="str">
        <f>"20220316"</f>
        <v>20220316</v>
      </c>
      <c r="B48" s="3" t="str">
        <f>"20220316"</f>
        <v>20220316</v>
      </c>
      <c r="C48" s="3" t="str">
        <f t="shared" si="0"/>
        <v>0</v>
      </c>
      <c r="D48" s="3" t="str">
        <f t="shared" si="1"/>
        <v>00:00:00</v>
      </c>
      <c r="E48" s="3" t="str">
        <f t="shared" si="2"/>
        <v>港股通组合费</v>
      </c>
      <c r="H48" s="3">
        <v>0</v>
      </c>
      <c r="I48" s="3">
        <v>0</v>
      </c>
      <c r="J48" s="3">
        <v>0.04</v>
      </c>
      <c r="K48" s="3">
        <v>-0.04</v>
      </c>
      <c r="L48" s="3">
        <v>0</v>
      </c>
      <c r="M48" s="3">
        <v>0</v>
      </c>
      <c r="N48" s="3">
        <v>4.96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tr">
        <f t="shared" si="3"/>
        <v>0</v>
      </c>
      <c r="AA48" s="3" t="str">
        <f t="shared" si="4"/>
        <v>0</v>
      </c>
      <c r="AB48" s="3" t="str">
        <f t="shared" si="5"/>
        <v>人民币</v>
      </c>
      <c r="AC48" s="3" t="str">
        <f t="shared" si="6"/>
        <v>A368402599</v>
      </c>
    </row>
    <row r="49" spans="1:29">
      <c r="A49" s="3" t="str">
        <f>"20220317"</f>
        <v>20220317</v>
      </c>
      <c r="B49" s="3" t="str">
        <f>"20220317"</f>
        <v>20220317</v>
      </c>
      <c r="C49" s="3" t="str">
        <f t="shared" si="0"/>
        <v>0</v>
      </c>
      <c r="D49" s="3" t="str">
        <f t="shared" si="1"/>
        <v>00:00:00</v>
      </c>
      <c r="E49" s="3" t="str">
        <f t="shared" si="2"/>
        <v>港股通组合费</v>
      </c>
      <c r="H49" s="3">
        <v>0</v>
      </c>
      <c r="I49" s="3">
        <v>0</v>
      </c>
      <c r="J49" s="3">
        <v>0.04</v>
      </c>
      <c r="K49" s="3">
        <v>-0.04</v>
      </c>
      <c r="L49" s="3">
        <v>0</v>
      </c>
      <c r="M49" s="3">
        <v>0</v>
      </c>
      <c r="N49" s="3">
        <v>4.96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tr">
        <f t="shared" si="3"/>
        <v>0</v>
      </c>
      <c r="AA49" s="3" t="str">
        <f t="shared" si="4"/>
        <v>0</v>
      </c>
      <c r="AB49" s="3" t="str">
        <f t="shared" si="5"/>
        <v>人民币</v>
      </c>
      <c r="AC49" s="3" t="str">
        <f t="shared" si="6"/>
        <v>A368402599</v>
      </c>
    </row>
    <row r="50" spans="1:29">
      <c r="A50" s="3" t="str">
        <f>"20220318"</f>
        <v>20220318</v>
      </c>
      <c r="B50" s="3" t="str">
        <f>"20220318"</f>
        <v>20220318</v>
      </c>
      <c r="C50" s="3" t="str">
        <f t="shared" si="0"/>
        <v>0</v>
      </c>
      <c r="D50" s="3" t="str">
        <f t="shared" si="1"/>
        <v>00:00:00</v>
      </c>
      <c r="E50" s="3" t="str">
        <f t="shared" si="2"/>
        <v>港股通组合费</v>
      </c>
      <c r="H50" s="3">
        <v>0</v>
      </c>
      <c r="I50" s="3">
        <v>0</v>
      </c>
      <c r="J50" s="3">
        <v>0.05</v>
      </c>
      <c r="K50" s="3">
        <v>-0.05</v>
      </c>
      <c r="L50" s="3">
        <v>0</v>
      </c>
      <c r="M50" s="3">
        <v>0</v>
      </c>
      <c r="N50" s="3">
        <v>5.68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 t="str">
        <f t="shared" si="3"/>
        <v>0</v>
      </c>
      <c r="AA50" s="3" t="str">
        <f t="shared" si="4"/>
        <v>0</v>
      </c>
      <c r="AB50" s="3" t="str">
        <f t="shared" si="5"/>
        <v>人民币</v>
      </c>
      <c r="AC50" s="3" t="str">
        <f t="shared" si="6"/>
        <v>A368402599</v>
      </c>
    </row>
    <row r="51" spans="1:29">
      <c r="A51" s="3" t="str">
        <f>"20220321"</f>
        <v>20220321</v>
      </c>
      <c r="B51" s="3" t="str">
        <f>"20220321"</f>
        <v>20220321</v>
      </c>
      <c r="C51" s="3" t="str">
        <f t="shared" si="0"/>
        <v>0</v>
      </c>
      <c r="D51" s="3" t="str">
        <f t="shared" si="1"/>
        <v>00:00:00</v>
      </c>
      <c r="E51" s="3" t="str">
        <f t="shared" si="2"/>
        <v>港股通组合费</v>
      </c>
      <c r="H51" s="3">
        <v>0</v>
      </c>
      <c r="I51" s="3">
        <v>0</v>
      </c>
      <c r="J51" s="3">
        <v>0.15</v>
      </c>
      <c r="K51" s="3">
        <v>-0.15</v>
      </c>
      <c r="L51" s="3">
        <v>0</v>
      </c>
      <c r="M51" s="3">
        <v>0</v>
      </c>
      <c r="N51" s="3">
        <v>5.53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 t="str">
        <f t="shared" si="3"/>
        <v>0</v>
      </c>
      <c r="AA51" s="3" t="str">
        <f t="shared" si="4"/>
        <v>0</v>
      </c>
      <c r="AB51" s="3" t="str">
        <f t="shared" si="5"/>
        <v>人民币</v>
      </c>
      <c r="AC51" s="3" t="str">
        <f t="shared" si="6"/>
        <v>A368402599</v>
      </c>
    </row>
    <row r="52" spans="1:29">
      <c r="A52" s="3" t="str">
        <f>"20220322"</f>
        <v>20220322</v>
      </c>
      <c r="B52" s="3" t="str">
        <f>"20220322"</f>
        <v>20220322</v>
      </c>
      <c r="C52" s="3" t="str">
        <f t="shared" si="0"/>
        <v>0</v>
      </c>
      <c r="D52" s="3" t="str">
        <f t="shared" si="1"/>
        <v>00:00:00</v>
      </c>
      <c r="E52" s="3" t="str">
        <f t="shared" si="2"/>
        <v>港股通组合费</v>
      </c>
      <c r="H52" s="3">
        <v>0</v>
      </c>
      <c r="I52" s="3">
        <v>0</v>
      </c>
      <c r="J52" s="3">
        <v>0.05</v>
      </c>
      <c r="K52" s="3">
        <v>-0.05</v>
      </c>
      <c r="L52" s="3">
        <v>0</v>
      </c>
      <c r="M52" s="3">
        <v>0</v>
      </c>
      <c r="N52" s="3">
        <v>19.82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tr">
        <f t="shared" si="3"/>
        <v>0</v>
      </c>
      <c r="AA52" s="3" t="str">
        <f t="shared" si="4"/>
        <v>0</v>
      </c>
      <c r="AB52" s="3" t="str">
        <f t="shared" si="5"/>
        <v>人民币</v>
      </c>
      <c r="AC52" s="3" t="str">
        <f t="shared" si="6"/>
        <v>A368402599</v>
      </c>
    </row>
    <row r="53" spans="1:29">
      <c r="A53" s="3" t="str">
        <f>"20220323"</f>
        <v>20220323</v>
      </c>
      <c r="B53" s="3" t="str">
        <f>"20220323"</f>
        <v>20220323</v>
      </c>
      <c r="C53" s="3" t="str">
        <f t="shared" si="0"/>
        <v>0</v>
      </c>
      <c r="D53" s="3" t="str">
        <f t="shared" si="1"/>
        <v>00:00:00</v>
      </c>
      <c r="E53" s="3" t="str">
        <f t="shared" si="2"/>
        <v>港股通组合费</v>
      </c>
      <c r="H53" s="3">
        <v>0</v>
      </c>
      <c r="I53" s="3">
        <v>0</v>
      </c>
      <c r="J53" s="3">
        <v>0.05</v>
      </c>
      <c r="K53" s="3">
        <v>-0.05</v>
      </c>
      <c r="L53" s="3">
        <v>0</v>
      </c>
      <c r="M53" s="3">
        <v>0</v>
      </c>
      <c r="N53" s="3">
        <v>19.77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 t="str">
        <f t="shared" si="3"/>
        <v>0</v>
      </c>
      <c r="AA53" s="3" t="str">
        <f t="shared" si="4"/>
        <v>0</v>
      </c>
      <c r="AB53" s="3" t="str">
        <f t="shared" si="5"/>
        <v>人民币</v>
      </c>
      <c r="AC53" s="3" t="str">
        <f t="shared" si="6"/>
        <v>A368402599</v>
      </c>
    </row>
    <row r="54" spans="1:29">
      <c r="A54" s="3" t="str">
        <f>"20220324"</f>
        <v>20220324</v>
      </c>
      <c r="B54" s="3" t="str">
        <f>"20220324"</f>
        <v>20220324</v>
      </c>
      <c r="C54" s="3" t="str">
        <f t="shared" si="0"/>
        <v>0</v>
      </c>
      <c r="D54" s="3" t="str">
        <f t="shared" si="1"/>
        <v>00:00:00</v>
      </c>
      <c r="E54" s="3" t="str">
        <f t="shared" si="2"/>
        <v>港股通组合费</v>
      </c>
      <c r="H54" s="3">
        <v>0</v>
      </c>
      <c r="I54" s="3">
        <v>0</v>
      </c>
      <c r="J54" s="3">
        <v>0.05</v>
      </c>
      <c r="K54" s="3">
        <v>-0.05</v>
      </c>
      <c r="L54" s="3">
        <v>0</v>
      </c>
      <c r="M54" s="3">
        <v>0</v>
      </c>
      <c r="N54" s="3">
        <v>19.72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 t="str">
        <f t="shared" si="3"/>
        <v>0</v>
      </c>
      <c r="AA54" s="3" t="str">
        <f t="shared" si="4"/>
        <v>0</v>
      </c>
      <c r="AB54" s="3" t="str">
        <f t="shared" si="5"/>
        <v>人民币</v>
      </c>
      <c r="AC54" s="3" t="str">
        <f t="shared" si="6"/>
        <v>A368402599</v>
      </c>
    </row>
    <row r="55" spans="1:29">
      <c r="A55" s="3" t="str">
        <f>"20220325"</f>
        <v>20220325</v>
      </c>
      <c r="B55" s="3" t="str">
        <f>"20220325"</f>
        <v>20220325</v>
      </c>
      <c r="C55" s="3" t="str">
        <f t="shared" si="0"/>
        <v>0</v>
      </c>
      <c r="D55" s="3" t="str">
        <f t="shared" si="1"/>
        <v>00:00:00</v>
      </c>
      <c r="E55" s="3" t="str">
        <f t="shared" si="2"/>
        <v>港股通组合费</v>
      </c>
      <c r="H55" s="3">
        <v>0</v>
      </c>
      <c r="I55" s="3">
        <v>0</v>
      </c>
      <c r="J55" s="3">
        <v>0.05</v>
      </c>
      <c r="K55" s="3">
        <v>-0.05</v>
      </c>
      <c r="L55" s="3">
        <v>0</v>
      </c>
      <c r="M55" s="3">
        <v>0</v>
      </c>
      <c r="N55" s="3">
        <v>19.67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 t="str">
        <f t="shared" si="3"/>
        <v>0</v>
      </c>
      <c r="AA55" s="3" t="str">
        <f t="shared" si="4"/>
        <v>0</v>
      </c>
      <c r="AB55" s="3" t="str">
        <f t="shared" si="5"/>
        <v>人民币</v>
      </c>
      <c r="AC55" s="3" t="str">
        <f t="shared" si="6"/>
        <v>A368402599</v>
      </c>
    </row>
    <row r="56" spans="1:29">
      <c r="A56" s="3" t="str">
        <f>"20220328"</f>
        <v>20220328</v>
      </c>
      <c r="B56" s="3" t="str">
        <f>"20220328"</f>
        <v>20220328</v>
      </c>
      <c r="C56" s="3" t="str">
        <f t="shared" si="0"/>
        <v>0</v>
      </c>
      <c r="D56" s="3" t="str">
        <f t="shared" si="1"/>
        <v>00:00:00</v>
      </c>
      <c r="E56" s="3" t="str">
        <f t="shared" si="2"/>
        <v>港股通组合费</v>
      </c>
      <c r="H56" s="3">
        <v>0</v>
      </c>
      <c r="I56" s="3">
        <v>0</v>
      </c>
      <c r="J56" s="3">
        <v>0.15</v>
      </c>
      <c r="K56" s="3">
        <v>-0.15</v>
      </c>
      <c r="L56" s="3">
        <v>0</v>
      </c>
      <c r="M56" s="3">
        <v>0</v>
      </c>
      <c r="N56" s="3">
        <v>19.52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 t="str">
        <f t="shared" si="3"/>
        <v>0</v>
      </c>
      <c r="AA56" s="3" t="str">
        <f t="shared" si="4"/>
        <v>0</v>
      </c>
      <c r="AB56" s="3" t="str">
        <f t="shared" si="5"/>
        <v>人民币</v>
      </c>
      <c r="AC56" s="3" t="str">
        <f t="shared" si="6"/>
        <v>A368402599</v>
      </c>
    </row>
    <row r="57" spans="1:29">
      <c r="A57" s="3" t="str">
        <f>"20220329"</f>
        <v>20220329</v>
      </c>
      <c r="B57" s="3" t="str">
        <f>"20220329"</f>
        <v>20220329</v>
      </c>
      <c r="C57" s="3" t="str">
        <f t="shared" si="0"/>
        <v>0</v>
      </c>
      <c r="D57" s="3" t="str">
        <f t="shared" si="1"/>
        <v>00:00:00</v>
      </c>
      <c r="E57" s="3" t="str">
        <f t="shared" si="2"/>
        <v>港股通组合费</v>
      </c>
      <c r="H57" s="3">
        <v>0</v>
      </c>
      <c r="I57" s="3">
        <v>0</v>
      </c>
      <c r="J57" s="3">
        <v>0.05</v>
      </c>
      <c r="K57" s="3">
        <v>-0.05</v>
      </c>
      <c r="L57" s="3">
        <v>0</v>
      </c>
      <c r="M57" s="3">
        <v>0</v>
      </c>
      <c r="N57" s="3">
        <v>19.47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 t="str">
        <f t="shared" si="3"/>
        <v>0</v>
      </c>
      <c r="AA57" s="3" t="str">
        <f t="shared" si="4"/>
        <v>0</v>
      </c>
      <c r="AB57" s="3" t="str">
        <f t="shared" si="5"/>
        <v>人民币</v>
      </c>
      <c r="AC57" s="3" t="str">
        <f t="shared" si="6"/>
        <v>A368402599</v>
      </c>
    </row>
    <row r="58" spans="1:29">
      <c r="A58" s="3" t="str">
        <f>"20220330"</f>
        <v>20220330</v>
      </c>
      <c r="B58" s="3" t="str">
        <f>"20220330"</f>
        <v>20220330</v>
      </c>
      <c r="C58" s="3" t="str">
        <f t="shared" si="0"/>
        <v>0</v>
      </c>
      <c r="D58" s="3" t="str">
        <f t="shared" si="1"/>
        <v>00:00:00</v>
      </c>
      <c r="E58" s="3" t="str">
        <f t="shared" si="2"/>
        <v>港股通组合费</v>
      </c>
      <c r="H58" s="3">
        <v>0</v>
      </c>
      <c r="I58" s="3">
        <v>0</v>
      </c>
      <c r="J58" s="3">
        <v>0.05</v>
      </c>
      <c r="K58" s="3">
        <v>-0.05</v>
      </c>
      <c r="L58" s="3">
        <v>0</v>
      </c>
      <c r="M58" s="3">
        <v>0</v>
      </c>
      <c r="N58" s="3">
        <v>19.42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tr">
        <f t="shared" si="3"/>
        <v>0</v>
      </c>
      <c r="AA58" s="3" t="str">
        <f t="shared" si="4"/>
        <v>0</v>
      </c>
      <c r="AB58" s="3" t="str">
        <f t="shared" si="5"/>
        <v>人民币</v>
      </c>
      <c r="AC58" s="3" t="str">
        <f t="shared" si="6"/>
        <v>A368402599</v>
      </c>
    </row>
    <row r="59" spans="1:29">
      <c r="A59" s="3" t="str">
        <f>"20220331"</f>
        <v>20220331</v>
      </c>
      <c r="B59" s="3" t="str">
        <f>"20220331"</f>
        <v>20220331</v>
      </c>
      <c r="C59" s="3" t="str">
        <f t="shared" si="0"/>
        <v>0</v>
      </c>
      <c r="D59" s="3" t="str">
        <f t="shared" si="1"/>
        <v>00:00:00</v>
      </c>
      <c r="E59" s="3" t="str">
        <f t="shared" si="2"/>
        <v>港股通组合费</v>
      </c>
      <c r="H59" s="3">
        <v>0</v>
      </c>
      <c r="I59" s="3">
        <v>0</v>
      </c>
      <c r="J59" s="3">
        <v>0.05</v>
      </c>
      <c r="K59" s="3">
        <v>-0.05</v>
      </c>
      <c r="L59" s="3">
        <v>0</v>
      </c>
      <c r="M59" s="3">
        <v>0</v>
      </c>
      <c r="N59" s="3">
        <v>19.37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 t="str">
        <f t="shared" si="3"/>
        <v>0</v>
      </c>
      <c r="AA59" s="3" t="str">
        <f t="shared" si="4"/>
        <v>0</v>
      </c>
      <c r="AB59" s="3" t="str">
        <f t="shared" si="5"/>
        <v>人民币</v>
      </c>
      <c r="AC59" s="3" t="str">
        <f t="shared" si="6"/>
        <v>A368402599</v>
      </c>
    </row>
  </sheetData>
  <pageMargins left="0.7" right="0.7" top="0.75" bottom="0.75" header="0.3" footer="0.3"/>
  <pageSetup paperSize="9" orientation="portrait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zoomScaleSheetLayoutView="60" workbookViewId="0">
      <selection activeCell="L54" sqref="L54"/>
    </sheetView>
  </sheetViews>
  <sheetFormatPr defaultColWidth="9" defaultRowHeight="13.5"/>
  <cols>
    <col min="1" max="16384" width="9" style="1"/>
  </cols>
  <sheetData>
    <row r="1" spans="1:15">
      <c r="A1" s="1" t="str">
        <f>"成交日期"</f>
        <v>成交日期</v>
      </c>
      <c r="B1" s="1" t="str">
        <f>"委托日期"</f>
        <v>委托日期</v>
      </c>
      <c r="C1" s="1" t="str">
        <f>"业务类型"</f>
        <v>业务类型</v>
      </c>
      <c r="D1" s="1" t="str">
        <f>"证券代码"</f>
        <v>证券代码</v>
      </c>
      <c r="E1" s="1" t="str">
        <f>"证券名称"</f>
        <v>证券名称</v>
      </c>
      <c r="F1" s="1" t="str">
        <f>"成交价格"</f>
        <v>成交价格</v>
      </c>
      <c r="G1" s="1" t="str">
        <f>"成交数量"</f>
        <v>成交数量</v>
      </c>
      <c r="H1" s="1" t="str">
        <f>"成交金额"</f>
        <v>成交金额</v>
      </c>
      <c r="I1" s="1" t="str">
        <f>"发生金额"</f>
        <v>发生金额</v>
      </c>
      <c r="J1" s="1" t="str">
        <f>"资金余额"</f>
        <v>资金余额</v>
      </c>
      <c r="K1" s="1" t="str">
        <f>"当前持仓"</f>
        <v>当前持仓</v>
      </c>
      <c r="L1" s="1" t="str">
        <f>"币种"</f>
        <v>币种</v>
      </c>
      <c r="M1" s="1" t="str">
        <f>"协议编号"</f>
        <v>协议编号</v>
      </c>
      <c r="N1" s="1" t="str">
        <f>"股东代码"</f>
        <v>股东代码</v>
      </c>
      <c r="O1" s="1" t="str">
        <f>"产品账号"</f>
        <v>产品账号</v>
      </c>
    </row>
    <row r="2" spans="1:15">
      <c r="A2" s="1" t="str">
        <f>"20220617"</f>
        <v>20220617</v>
      </c>
      <c r="B2" s="1" t="str">
        <f>"20220617"</f>
        <v>20220617</v>
      </c>
      <c r="C2" s="1" t="str">
        <f>"银行转证券"</f>
        <v>银行转证券</v>
      </c>
      <c r="F2" s="1">
        <v>0</v>
      </c>
      <c r="G2" s="1">
        <v>0</v>
      </c>
      <c r="H2" s="1">
        <v>0</v>
      </c>
      <c r="I2" s="1">
        <v>26000</v>
      </c>
      <c r="J2" s="1">
        <v>26015.5</v>
      </c>
      <c r="K2" s="1">
        <v>0</v>
      </c>
      <c r="L2" s="1" t="str">
        <f t="shared" ref="L2:L23" si="0">"人民币"</f>
        <v>人民币</v>
      </c>
      <c r="O2" s="1" t="str">
        <f t="shared" ref="O2:O23" si="1">"300100052893"</f>
        <v>300100052893</v>
      </c>
    </row>
    <row r="3" spans="1:15">
      <c r="A3" s="1" t="str">
        <f>"20220617"</f>
        <v>20220617</v>
      </c>
      <c r="B3" s="1" t="str">
        <f>"20220617"</f>
        <v>20220617</v>
      </c>
      <c r="C3" s="1" t="str">
        <f>"基金赎回拨入"</f>
        <v>基金赎回拨入</v>
      </c>
      <c r="D3" s="1" t="str">
        <f t="shared" ref="D3:D10" si="2">"AA0007"</f>
        <v>AA0007</v>
      </c>
      <c r="E3" s="1" t="str">
        <f t="shared" ref="E3:E10" si="3">"银河水星1号集合"</f>
        <v>银河水星1号集合</v>
      </c>
      <c r="F3" s="1">
        <v>0</v>
      </c>
      <c r="G3" s="1">
        <v>4019</v>
      </c>
      <c r="H3" s="1">
        <v>0</v>
      </c>
      <c r="I3" s="1">
        <v>4019.5</v>
      </c>
      <c r="J3" s="1">
        <v>30035</v>
      </c>
      <c r="K3" s="1">
        <v>0</v>
      </c>
      <c r="L3" s="1" t="str">
        <f t="shared" si="0"/>
        <v>人民币</v>
      </c>
      <c r="N3" s="1" t="str">
        <f t="shared" ref="N3:N10" si="4">"980149593788"</f>
        <v>980149593788</v>
      </c>
      <c r="O3" s="1" t="str">
        <f t="shared" si="1"/>
        <v>300100052893</v>
      </c>
    </row>
    <row r="4" spans="1:15">
      <c r="A4" s="1" t="str">
        <f>"20220617"</f>
        <v>20220617</v>
      </c>
      <c r="B4" s="1" t="str">
        <f>"20220615"</f>
        <v>20220615</v>
      </c>
      <c r="C4" s="1" t="str">
        <f>"配售缴款"</f>
        <v>配售缴款</v>
      </c>
      <c r="D4" s="1" t="str">
        <f>"787047"</f>
        <v>787047</v>
      </c>
      <c r="E4" s="1" t="str">
        <f>"龙芯申购"</f>
        <v>龙芯申购</v>
      </c>
      <c r="F4" s="1">
        <v>60.06</v>
      </c>
      <c r="G4" s="1">
        <v>500</v>
      </c>
      <c r="H4" s="1">
        <v>30030</v>
      </c>
      <c r="I4" s="1">
        <v>-30030</v>
      </c>
      <c r="J4" s="1">
        <v>5</v>
      </c>
      <c r="K4" s="1">
        <v>0</v>
      </c>
      <c r="L4" s="1" t="str">
        <f t="shared" si="0"/>
        <v>人民币</v>
      </c>
      <c r="M4" s="1" t="str">
        <f>"0136004218"</f>
        <v>0136004218</v>
      </c>
      <c r="N4" s="1" t="str">
        <f>"A368402599"</f>
        <v>A368402599</v>
      </c>
      <c r="O4" s="1" t="str">
        <f t="shared" si="1"/>
        <v>300100052893</v>
      </c>
    </row>
    <row r="5" spans="1:15">
      <c r="A5" s="1" t="str">
        <f t="shared" ref="A5:A7" si="5">"20220620"</f>
        <v>20220620</v>
      </c>
      <c r="B5" s="1" t="str">
        <f>"20220620"</f>
        <v>20220620</v>
      </c>
      <c r="C5" s="1" t="str">
        <f>"利息归本"</f>
        <v>利息归本</v>
      </c>
      <c r="F5" s="1">
        <v>0</v>
      </c>
      <c r="G5" s="1">
        <v>0</v>
      </c>
      <c r="H5" s="1">
        <v>0</v>
      </c>
      <c r="I5" s="1">
        <v>0.01</v>
      </c>
      <c r="J5" s="1">
        <v>4.97</v>
      </c>
      <c r="K5" s="1">
        <v>0</v>
      </c>
      <c r="L5" s="1" t="str">
        <f t="shared" si="0"/>
        <v>人民币</v>
      </c>
      <c r="O5" s="1" t="str">
        <f t="shared" si="1"/>
        <v>300100052893</v>
      </c>
    </row>
    <row r="6" spans="1:15">
      <c r="A6" s="1" t="str">
        <f t="shared" si="5"/>
        <v>20220620</v>
      </c>
      <c r="B6" s="1" t="str">
        <f>"20220620"</f>
        <v>20220620</v>
      </c>
      <c r="C6" s="1" t="str">
        <f>"基金赎回拨入"</f>
        <v>基金赎回拨入</v>
      </c>
      <c r="D6" s="1" t="str">
        <f t="shared" si="2"/>
        <v>AA0007</v>
      </c>
      <c r="E6" s="1" t="str">
        <f t="shared" si="3"/>
        <v>银河水星1号集合</v>
      </c>
      <c r="F6" s="1">
        <v>0</v>
      </c>
      <c r="G6" s="1">
        <v>0</v>
      </c>
      <c r="H6" s="1">
        <v>0</v>
      </c>
      <c r="I6" s="1">
        <v>0.04</v>
      </c>
      <c r="J6" s="1">
        <v>5.01</v>
      </c>
      <c r="K6" s="1">
        <v>0</v>
      </c>
      <c r="L6" s="1" t="str">
        <f t="shared" si="0"/>
        <v>人民币</v>
      </c>
      <c r="N6" s="1" t="str">
        <f t="shared" si="4"/>
        <v>980149593788</v>
      </c>
      <c r="O6" s="1" t="str">
        <f t="shared" si="1"/>
        <v>300100052893</v>
      </c>
    </row>
    <row r="7" spans="1:15">
      <c r="A7" s="1" t="str">
        <f t="shared" si="5"/>
        <v>20220620</v>
      </c>
      <c r="B7" s="1" t="str">
        <f>"20220615"</f>
        <v>20220615</v>
      </c>
      <c r="C7" s="1" t="str">
        <f>"配售股份"</f>
        <v>配售股份</v>
      </c>
      <c r="D7" s="1" t="str">
        <f>"787047"</f>
        <v>787047</v>
      </c>
      <c r="E7" s="1" t="str">
        <f>"龙芯申购"</f>
        <v>龙芯申购</v>
      </c>
      <c r="F7" s="1">
        <v>60.06</v>
      </c>
      <c r="G7" s="1">
        <v>500</v>
      </c>
      <c r="H7" s="1">
        <v>30030</v>
      </c>
      <c r="I7" s="1">
        <v>0</v>
      </c>
      <c r="J7" s="1">
        <v>5.01</v>
      </c>
      <c r="K7" s="1">
        <v>500</v>
      </c>
      <c r="L7" s="1" t="str">
        <f t="shared" si="0"/>
        <v>人民币</v>
      </c>
      <c r="M7" s="1" t="str">
        <f>"0136004218"</f>
        <v>0136004218</v>
      </c>
      <c r="N7" s="1" t="str">
        <f>"A368402599"</f>
        <v>A368402599</v>
      </c>
      <c r="O7" s="1" t="str">
        <f t="shared" si="1"/>
        <v>300100052893</v>
      </c>
    </row>
    <row r="8" spans="1:15">
      <c r="A8" s="1" t="str">
        <f>"20220621"</f>
        <v>20220621</v>
      </c>
      <c r="B8" s="1" t="str">
        <f>"20220621"</f>
        <v>20220621</v>
      </c>
      <c r="C8" s="1" t="str">
        <f>"基金申购拨出"</f>
        <v>基金申购拨出</v>
      </c>
      <c r="D8" s="1" t="str">
        <f t="shared" si="2"/>
        <v>AA0007</v>
      </c>
      <c r="E8" s="1" t="str">
        <f t="shared" si="3"/>
        <v>银河水星1号集合</v>
      </c>
      <c r="F8" s="1">
        <v>0</v>
      </c>
      <c r="G8" s="1">
        <v>0</v>
      </c>
      <c r="H8" s="1">
        <v>0</v>
      </c>
      <c r="I8" s="1">
        <v>-31117.07</v>
      </c>
      <c r="J8" s="1">
        <v>-31112.19</v>
      </c>
      <c r="K8" s="1">
        <v>0</v>
      </c>
      <c r="L8" s="1" t="str">
        <f t="shared" si="0"/>
        <v>人民币</v>
      </c>
      <c r="N8" s="1" t="str">
        <f t="shared" si="4"/>
        <v>980149593788</v>
      </c>
      <c r="O8" s="1" t="str">
        <f t="shared" si="1"/>
        <v>300100052893</v>
      </c>
    </row>
    <row r="9" spans="1:15">
      <c r="A9" s="1" t="str">
        <f>"20220622"</f>
        <v>20220622</v>
      </c>
      <c r="B9" s="1" t="str">
        <f>"20220622"</f>
        <v>20220622</v>
      </c>
      <c r="C9" s="1" t="str">
        <f>"基金赎回拨入"</f>
        <v>基金赎回拨入</v>
      </c>
      <c r="D9" s="1" t="str">
        <f t="shared" si="2"/>
        <v>AA0007</v>
      </c>
      <c r="E9" s="1" t="str">
        <f t="shared" si="3"/>
        <v>银河水星1号集合</v>
      </c>
      <c r="F9" s="1">
        <v>0</v>
      </c>
      <c r="G9" s="1">
        <v>0</v>
      </c>
      <c r="H9" s="1">
        <v>0</v>
      </c>
      <c r="I9" s="1">
        <v>0.04</v>
      </c>
      <c r="J9" s="1">
        <v>5</v>
      </c>
      <c r="K9" s="1">
        <v>0</v>
      </c>
      <c r="L9" s="1" t="str">
        <f t="shared" si="0"/>
        <v>人民币</v>
      </c>
      <c r="N9" s="1" t="str">
        <f t="shared" si="4"/>
        <v>980149593788</v>
      </c>
      <c r="O9" s="1" t="str">
        <f t="shared" si="1"/>
        <v>300100052893</v>
      </c>
    </row>
    <row r="10" spans="1:15">
      <c r="A10" s="1" t="str">
        <f>"20220622"</f>
        <v>20220622</v>
      </c>
      <c r="B10" s="1" t="str">
        <f>"0"</f>
        <v>0</v>
      </c>
      <c r="C10" s="1" t="str">
        <f>"基金红利拨入"</f>
        <v>基金红利拨入</v>
      </c>
      <c r="D10" s="1" t="str">
        <f t="shared" si="2"/>
        <v>AA0007</v>
      </c>
      <c r="E10" s="1" t="str">
        <f t="shared" si="3"/>
        <v>银河水星1号集合</v>
      </c>
      <c r="F10" s="1">
        <v>0</v>
      </c>
      <c r="G10" s="1">
        <v>0</v>
      </c>
      <c r="H10" s="1">
        <v>16.54</v>
      </c>
      <c r="I10" s="1">
        <v>16.54</v>
      </c>
      <c r="J10" s="1">
        <v>21.54</v>
      </c>
      <c r="K10" s="1">
        <v>0</v>
      </c>
      <c r="L10" s="1" t="str">
        <f t="shared" si="0"/>
        <v>人民币</v>
      </c>
      <c r="N10" s="1" t="str">
        <f t="shared" si="4"/>
        <v>980149593788</v>
      </c>
      <c r="O10" s="1" t="str">
        <f t="shared" si="1"/>
        <v>300100052893</v>
      </c>
    </row>
    <row r="11" spans="1:15">
      <c r="A11" s="1" t="str">
        <f t="shared" ref="A11:A16" si="6">"20220623"</f>
        <v>20220623</v>
      </c>
      <c r="B11" s="1" t="str">
        <f t="shared" ref="B11:B13" si="7">"20220623"</f>
        <v>20220623</v>
      </c>
      <c r="C11" s="1" t="str">
        <f>"资管计划实时取现"</f>
        <v>资管计划实时取现</v>
      </c>
      <c r="D11" s="1" t="str">
        <f>"119931"</f>
        <v>119931</v>
      </c>
      <c r="E11" s="1" t="str">
        <f>"水星1号"</f>
        <v>水星1号</v>
      </c>
      <c r="F11" s="1">
        <v>0</v>
      </c>
      <c r="G11" s="1">
        <v>0</v>
      </c>
      <c r="H11" s="1">
        <v>30000</v>
      </c>
      <c r="I11" s="1">
        <v>30000</v>
      </c>
      <c r="J11" s="1">
        <v>30021.5</v>
      </c>
      <c r="K11" s="1">
        <v>0</v>
      </c>
      <c r="L11" s="1" t="str">
        <f t="shared" si="0"/>
        <v>人民币</v>
      </c>
      <c r="M11" s="1" t="str">
        <f>"T400001563"</f>
        <v>T400001563</v>
      </c>
      <c r="N11" s="1" t="str">
        <f>"0149593788"</f>
        <v>0149593788</v>
      </c>
      <c r="O11" s="1" t="str">
        <f t="shared" si="1"/>
        <v>300100052893</v>
      </c>
    </row>
    <row r="12" spans="1:15">
      <c r="A12" s="1" t="str">
        <f t="shared" si="6"/>
        <v>20220623</v>
      </c>
      <c r="B12" s="1" t="str">
        <f t="shared" si="7"/>
        <v>20220623</v>
      </c>
      <c r="C12" s="1" t="str">
        <f>"证券转银行"</f>
        <v>证券转银行</v>
      </c>
      <c r="F12" s="1">
        <v>0</v>
      </c>
      <c r="G12" s="1">
        <v>0</v>
      </c>
      <c r="H12" s="1">
        <v>0</v>
      </c>
      <c r="I12" s="1">
        <v>-30000</v>
      </c>
      <c r="J12" s="1">
        <v>21.5</v>
      </c>
      <c r="K12" s="1">
        <v>0</v>
      </c>
      <c r="L12" s="1" t="str">
        <f t="shared" si="0"/>
        <v>人民币</v>
      </c>
      <c r="O12" s="1" t="str">
        <f t="shared" si="1"/>
        <v>300100052893</v>
      </c>
    </row>
    <row r="13" spans="1:15">
      <c r="A13" s="1" t="str">
        <f t="shared" si="6"/>
        <v>20220623</v>
      </c>
      <c r="B13" s="1" t="str">
        <f t="shared" si="7"/>
        <v>20220623</v>
      </c>
      <c r="C13" s="1" t="str">
        <f>"资管T0取现拨入"</f>
        <v>资管T0取现拨入</v>
      </c>
      <c r="D13" s="1" t="str">
        <f>"AA0007"</f>
        <v>AA0007</v>
      </c>
      <c r="E13" s="1" t="str">
        <f>"银河水星1号集合"</f>
        <v>银河水星1号集合</v>
      </c>
      <c r="F13" s="1">
        <v>0</v>
      </c>
      <c r="G13" s="1">
        <v>30000</v>
      </c>
      <c r="H13" s="1">
        <v>30000</v>
      </c>
      <c r="I13" s="1">
        <v>30000</v>
      </c>
      <c r="J13" s="1">
        <v>30021.5</v>
      </c>
      <c r="K13" s="1">
        <v>0</v>
      </c>
      <c r="L13" s="1" t="str">
        <f t="shared" si="0"/>
        <v>人民币</v>
      </c>
      <c r="N13" s="1" t="str">
        <f>"980149593788"</f>
        <v>980149593788</v>
      </c>
      <c r="O13" s="1" t="str">
        <f t="shared" si="1"/>
        <v>300100052893</v>
      </c>
    </row>
    <row r="14" spans="1:15">
      <c r="A14" s="1" t="str">
        <f t="shared" si="6"/>
        <v>20220623</v>
      </c>
      <c r="B14" s="1" t="str">
        <f>"20220615"</f>
        <v>20220615</v>
      </c>
      <c r="C14" s="1" t="str">
        <f>"中签股份下账"</f>
        <v>中签股份下账</v>
      </c>
      <c r="D14" s="1" t="str">
        <f>"787047"</f>
        <v>787047</v>
      </c>
      <c r="E14" s="1" t="str">
        <f>"新代码"</f>
        <v>新代码</v>
      </c>
      <c r="F14" s="1">
        <v>60.06</v>
      </c>
      <c r="G14" s="1">
        <v>500</v>
      </c>
      <c r="H14" s="1">
        <v>30030</v>
      </c>
      <c r="I14" s="1">
        <v>0</v>
      </c>
      <c r="J14" s="1">
        <v>30021.5</v>
      </c>
      <c r="K14" s="1">
        <v>0</v>
      </c>
      <c r="L14" s="1" t="str">
        <f t="shared" si="0"/>
        <v>人民币</v>
      </c>
      <c r="N14" s="1" t="str">
        <f t="shared" ref="N14:N18" si="8">"A368402599"</f>
        <v>A368402599</v>
      </c>
      <c r="O14" s="1" t="str">
        <f t="shared" si="1"/>
        <v>300100052893</v>
      </c>
    </row>
    <row r="15" spans="1:15">
      <c r="A15" s="1" t="str">
        <f t="shared" si="6"/>
        <v>20220623</v>
      </c>
      <c r="B15" s="1" t="str">
        <f>"20220615"</f>
        <v>20220615</v>
      </c>
      <c r="C15" s="1" t="str">
        <f>"新股入帐"</f>
        <v>新股入帐</v>
      </c>
      <c r="D15" s="1" t="str">
        <f>"688047"</f>
        <v>688047</v>
      </c>
      <c r="E15" s="1" t="str">
        <f>"新代码"</f>
        <v>新代码</v>
      </c>
      <c r="F15" s="1">
        <v>60.06</v>
      </c>
      <c r="G15" s="1">
        <v>500</v>
      </c>
      <c r="H15" s="1">
        <v>0</v>
      </c>
      <c r="I15" s="1">
        <v>0</v>
      </c>
      <c r="J15" s="1">
        <v>30021.5</v>
      </c>
      <c r="K15" s="1">
        <v>500</v>
      </c>
      <c r="L15" s="1" t="str">
        <f t="shared" si="0"/>
        <v>人民币</v>
      </c>
      <c r="N15" s="1" t="str">
        <f t="shared" si="8"/>
        <v>A368402599</v>
      </c>
      <c r="O15" s="1" t="str">
        <f t="shared" si="1"/>
        <v>300100052893</v>
      </c>
    </row>
    <row r="16" spans="1:15">
      <c r="A16" s="1" t="str">
        <f t="shared" si="6"/>
        <v>20220623</v>
      </c>
      <c r="B16" s="1" t="str">
        <f>"20220623"</f>
        <v>20220623</v>
      </c>
      <c r="C16" s="1" t="str">
        <f>"资管计划实时取现"</f>
        <v>资管计划实时取现</v>
      </c>
      <c r="D16" s="1" t="str">
        <f>"119931"</f>
        <v>119931</v>
      </c>
      <c r="E16" s="1" t="str">
        <f>"水星1号"</f>
        <v>水星1号</v>
      </c>
      <c r="F16" s="1">
        <v>0</v>
      </c>
      <c r="G16" s="1">
        <v>0</v>
      </c>
      <c r="H16" s="1">
        <v>0</v>
      </c>
      <c r="I16" s="1">
        <v>-30000</v>
      </c>
      <c r="J16" s="1">
        <v>21.5</v>
      </c>
      <c r="K16" s="1">
        <v>0</v>
      </c>
      <c r="L16" s="1" t="str">
        <f t="shared" si="0"/>
        <v>人民币</v>
      </c>
      <c r="M16" s="1" t="str">
        <f>"T400001563"</f>
        <v>T400001563</v>
      </c>
      <c r="N16" s="1" t="str">
        <f>"0149593788"</f>
        <v>0149593788</v>
      </c>
      <c r="O16" s="1" t="str">
        <f t="shared" si="1"/>
        <v>300100052893</v>
      </c>
    </row>
    <row r="17" spans="1:15">
      <c r="A17" s="1" t="str">
        <f t="shared" ref="A17:A19" si="9">"20220624"</f>
        <v>20220624</v>
      </c>
      <c r="B17" s="1" t="str">
        <f t="shared" ref="B17:B19" si="10">"20220624"</f>
        <v>20220624</v>
      </c>
      <c r="C17" s="1" t="str">
        <f t="shared" ref="C17:C23" si="11">"基金赎回拨入"</f>
        <v>基金赎回拨入</v>
      </c>
      <c r="D17" s="1" t="str">
        <f t="shared" ref="D17:D23" si="12">"AA0007"</f>
        <v>AA0007</v>
      </c>
      <c r="E17" s="1" t="str">
        <f t="shared" ref="E17:E23" si="13">"银河水星1号集合"</f>
        <v>银河水星1号集合</v>
      </c>
      <c r="F17" s="1">
        <v>0</v>
      </c>
      <c r="G17" s="1">
        <v>1858</v>
      </c>
      <c r="H17" s="1">
        <v>0</v>
      </c>
      <c r="I17" s="1">
        <v>1858.07</v>
      </c>
      <c r="J17" s="1">
        <v>1879.53</v>
      </c>
      <c r="K17" s="1">
        <v>0</v>
      </c>
      <c r="L17" s="1" t="str">
        <f t="shared" si="0"/>
        <v>人民币</v>
      </c>
      <c r="N17" s="1" t="str">
        <f t="shared" ref="N17:N23" si="14">"980149593788"</f>
        <v>980149593788</v>
      </c>
      <c r="O17" s="1" t="str">
        <f t="shared" si="1"/>
        <v>300100052893</v>
      </c>
    </row>
    <row r="18" spans="1:15">
      <c r="A18" s="1" t="str">
        <f t="shared" si="9"/>
        <v>20220624</v>
      </c>
      <c r="B18" s="1" t="str">
        <f t="shared" si="10"/>
        <v>20220624</v>
      </c>
      <c r="C18" s="1" t="str">
        <f>"证券卖出"</f>
        <v>证券卖出</v>
      </c>
      <c r="D18" s="1" t="str">
        <f>"688047"</f>
        <v>688047</v>
      </c>
      <c r="E18" s="1" t="str">
        <f>"N龙芯"</f>
        <v>N龙芯</v>
      </c>
      <c r="F18" s="1">
        <v>91.02</v>
      </c>
      <c r="G18" s="1">
        <v>500</v>
      </c>
      <c r="H18" s="1">
        <v>45510</v>
      </c>
      <c r="I18" s="1">
        <v>45454.93</v>
      </c>
      <c r="J18" s="1">
        <v>47334.46</v>
      </c>
      <c r="K18" s="1">
        <v>0</v>
      </c>
      <c r="L18" s="1" t="str">
        <f t="shared" si="0"/>
        <v>人民币</v>
      </c>
      <c r="M18" s="1" t="str">
        <f>"0136002254"</f>
        <v>0136002254</v>
      </c>
      <c r="N18" s="1" t="str">
        <f t="shared" si="8"/>
        <v>A368402599</v>
      </c>
      <c r="O18" s="1" t="str">
        <f t="shared" si="1"/>
        <v>300100052893</v>
      </c>
    </row>
    <row r="19" spans="1:15">
      <c r="A19" s="1" t="str">
        <f t="shared" si="9"/>
        <v>20220624</v>
      </c>
      <c r="B19" s="1" t="str">
        <f t="shared" si="10"/>
        <v>20220624</v>
      </c>
      <c r="C19" s="1" t="str">
        <f>"证券买入"</f>
        <v>证券买入</v>
      </c>
      <c r="D19" s="1" t="str">
        <f>"000601"</f>
        <v>000601</v>
      </c>
      <c r="E19" s="1" t="str">
        <f>"韶能股份"</f>
        <v>韶能股份</v>
      </c>
      <c r="F19" s="1">
        <v>5.2</v>
      </c>
      <c r="G19" s="1">
        <v>9100</v>
      </c>
      <c r="H19" s="1">
        <v>47320</v>
      </c>
      <c r="I19" s="1">
        <v>-47329.46</v>
      </c>
      <c r="J19" s="1">
        <v>5</v>
      </c>
      <c r="K19" s="1">
        <v>10800</v>
      </c>
      <c r="L19" s="1" t="str">
        <f t="shared" si="0"/>
        <v>人民币</v>
      </c>
      <c r="M19" s="1" t="str">
        <f>"T400004070"</f>
        <v>T400004070</v>
      </c>
      <c r="N19" s="1" t="str">
        <f>"0149593788"</f>
        <v>0149593788</v>
      </c>
      <c r="O19" s="1" t="str">
        <f t="shared" si="1"/>
        <v>300100052893</v>
      </c>
    </row>
    <row r="20" spans="1:15">
      <c r="A20" s="1" t="str">
        <f>"20220627"</f>
        <v>20220627</v>
      </c>
      <c r="B20" s="1" t="str">
        <f>"20220627"</f>
        <v>20220627</v>
      </c>
      <c r="C20" s="1" t="str">
        <f>"基金申购拨出"</f>
        <v>基金申购拨出</v>
      </c>
      <c r="D20" s="1" t="str">
        <f t="shared" si="12"/>
        <v>AA0007</v>
      </c>
      <c r="E20" s="1" t="str">
        <f t="shared" si="13"/>
        <v>银河水星1号集合</v>
      </c>
      <c r="F20" s="1">
        <v>0</v>
      </c>
      <c r="G20" s="1">
        <v>0</v>
      </c>
      <c r="H20" s="1">
        <v>0</v>
      </c>
      <c r="I20" s="1">
        <v>-13391.96</v>
      </c>
      <c r="J20" s="1">
        <v>5</v>
      </c>
      <c r="K20" s="1">
        <v>0</v>
      </c>
      <c r="L20" s="1" t="str">
        <f t="shared" si="0"/>
        <v>人民币</v>
      </c>
      <c r="N20" s="1" t="str">
        <f t="shared" si="14"/>
        <v>980149593788</v>
      </c>
      <c r="O20" s="1" t="str">
        <f t="shared" si="1"/>
        <v>300100052893</v>
      </c>
    </row>
    <row r="21" spans="1:15">
      <c r="A21" s="1" t="str">
        <f>"20220628"</f>
        <v>20220628</v>
      </c>
      <c r="B21" s="1" t="str">
        <f>"20220628"</f>
        <v>20220628</v>
      </c>
      <c r="C21" s="1" t="str">
        <f t="shared" si="11"/>
        <v>基金赎回拨入</v>
      </c>
      <c r="D21" s="1" t="str">
        <f t="shared" si="12"/>
        <v>AA0007</v>
      </c>
      <c r="E21" s="1" t="str">
        <f t="shared" si="13"/>
        <v>银河水星1号集合</v>
      </c>
      <c r="F21" s="1">
        <v>0</v>
      </c>
      <c r="G21" s="1">
        <v>0</v>
      </c>
      <c r="H21" s="1">
        <v>0</v>
      </c>
      <c r="I21" s="1">
        <v>0.13</v>
      </c>
      <c r="J21" s="1">
        <v>5</v>
      </c>
      <c r="K21" s="1">
        <v>0</v>
      </c>
      <c r="L21" s="1" t="str">
        <f t="shared" si="0"/>
        <v>人民币</v>
      </c>
      <c r="N21" s="1" t="str">
        <f t="shared" si="14"/>
        <v>980149593788</v>
      </c>
      <c r="O21" s="1" t="str">
        <f t="shared" si="1"/>
        <v>300100052893</v>
      </c>
    </row>
    <row r="22" spans="1:15">
      <c r="A22" s="1" t="str">
        <f>"20220629"</f>
        <v>20220629</v>
      </c>
      <c r="B22" s="1" t="str">
        <f>"20220629"</f>
        <v>20220629</v>
      </c>
      <c r="C22" s="1" t="str">
        <f t="shared" si="11"/>
        <v>基金赎回拨入</v>
      </c>
      <c r="D22" s="1" t="str">
        <f t="shared" si="12"/>
        <v>AA0007</v>
      </c>
      <c r="E22" s="1" t="str">
        <f t="shared" si="13"/>
        <v>银河水星1号集合</v>
      </c>
      <c r="F22" s="1">
        <v>0</v>
      </c>
      <c r="G22" s="1">
        <v>0</v>
      </c>
      <c r="H22" s="1">
        <v>0</v>
      </c>
      <c r="I22" s="1">
        <v>0.04</v>
      </c>
      <c r="J22" s="1">
        <v>5</v>
      </c>
      <c r="K22" s="1">
        <v>0</v>
      </c>
      <c r="L22" s="1" t="str">
        <f t="shared" si="0"/>
        <v>人民币</v>
      </c>
      <c r="N22" s="1" t="str">
        <f t="shared" si="14"/>
        <v>980149593788</v>
      </c>
      <c r="O22" s="1" t="str">
        <f t="shared" si="1"/>
        <v>300100052893</v>
      </c>
    </row>
    <row r="23" spans="1:15">
      <c r="A23" s="1" t="str">
        <f>"20220630"</f>
        <v>20220630</v>
      </c>
      <c r="B23" s="1" t="str">
        <f>"20220630"</f>
        <v>20220630</v>
      </c>
      <c r="C23" s="1" t="str">
        <f t="shared" si="11"/>
        <v>基金赎回拨入</v>
      </c>
      <c r="D23" s="1" t="str">
        <f t="shared" si="12"/>
        <v>AA0007</v>
      </c>
      <c r="E23" s="1" t="str">
        <f t="shared" si="13"/>
        <v>银河水星1号集合</v>
      </c>
      <c r="F23" s="1">
        <v>0</v>
      </c>
      <c r="G23" s="1">
        <v>0</v>
      </c>
      <c r="H23" s="1">
        <v>0</v>
      </c>
      <c r="I23" s="1">
        <v>0.04</v>
      </c>
      <c r="J23" s="1">
        <v>5</v>
      </c>
      <c r="K23" s="1">
        <v>0</v>
      </c>
      <c r="L23" s="1" t="str">
        <f t="shared" si="0"/>
        <v>人民币</v>
      </c>
      <c r="N23" s="1" t="str">
        <f t="shared" si="14"/>
        <v>980149593788</v>
      </c>
      <c r="O23" s="1" t="str">
        <f t="shared" si="1"/>
        <v>300100052893</v>
      </c>
    </row>
  </sheetData>
  <pageMargins left="0.75" right="0.75" top="1" bottom="1" header="0.5" footer="0.5"/>
  <pageSetup paperSize="9" orientation="portrait" horizontalDpi="600" verticalDpi="600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9"/>
  <sheetViews>
    <sheetView zoomScaleSheetLayoutView="60" workbookViewId="0">
      <selection activeCell="A1" sqref="A1"/>
    </sheetView>
  </sheetViews>
  <sheetFormatPr defaultColWidth="9" defaultRowHeight="13.5"/>
  <cols>
    <col min="1" max="16384" width="9" style="1"/>
  </cols>
  <sheetData>
    <row r="1" spans="1:29">
      <c r="A1" s="1" t="s">
        <v>398</v>
      </c>
      <c r="B1" s="1" t="s">
        <v>399</v>
      </c>
      <c r="C1" s="1" t="s">
        <v>400</v>
      </c>
      <c r="D1" s="1" t="s">
        <v>401</v>
      </c>
      <c r="E1" s="1" t="s">
        <v>1</v>
      </c>
      <c r="F1" s="1" t="s">
        <v>0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  <c r="X1" s="1" t="s">
        <v>419</v>
      </c>
      <c r="Y1" s="1" t="s">
        <v>420</v>
      </c>
      <c r="Z1" s="1" t="s">
        <v>421</v>
      </c>
      <c r="AA1" s="1" t="s">
        <v>422</v>
      </c>
      <c r="AB1" s="1" t="s">
        <v>423</v>
      </c>
      <c r="AC1" s="1" t="s">
        <v>424</v>
      </c>
    </row>
    <row r="2" spans="1:29">
      <c r="A2" s="1">
        <v>20220401</v>
      </c>
      <c r="B2" s="1">
        <v>20220401</v>
      </c>
      <c r="C2" s="1">
        <v>0</v>
      </c>
      <c r="D2" s="2">
        <v>0</v>
      </c>
      <c r="E2" s="1" t="s">
        <v>92</v>
      </c>
      <c r="H2" s="1">
        <v>0</v>
      </c>
      <c r="I2" s="1">
        <v>0</v>
      </c>
      <c r="J2" s="1">
        <v>0.05</v>
      </c>
      <c r="K2" s="1">
        <v>-0.05</v>
      </c>
      <c r="L2" s="1">
        <v>0</v>
      </c>
      <c r="M2" s="1">
        <v>0</v>
      </c>
      <c r="N2" s="1">
        <v>19.32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 t="s">
        <v>425</v>
      </c>
      <c r="AC2" s="1" t="s">
        <v>426</v>
      </c>
    </row>
    <row r="3" spans="1:29">
      <c r="A3" s="1">
        <v>20220406</v>
      </c>
      <c r="B3" s="1">
        <v>20220406</v>
      </c>
      <c r="C3" s="1">
        <v>0</v>
      </c>
      <c r="D3" s="2">
        <v>0</v>
      </c>
      <c r="E3" s="1" t="s">
        <v>92</v>
      </c>
      <c r="H3" s="1">
        <v>0</v>
      </c>
      <c r="I3" s="1">
        <v>0</v>
      </c>
      <c r="J3" s="1">
        <v>0.24</v>
      </c>
      <c r="K3" s="1">
        <v>-0.24</v>
      </c>
      <c r="L3" s="1">
        <v>0</v>
      </c>
      <c r="M3" s="1">
        <v>0</v>
      </c>
      <c r="N3" s="1">
        <v>19.08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 t="s">
        <v>425</v>
      </c>
      <c r="AC3" s="1" t="s">
        <v>426</v>
      </c>
    </row>
    <row r="4" spans="1:29">
      <c r="A4" s="1">
        <v>20220407</v>
      </c>
      <c r="B4" s="1">
        <v>20220407</v>
      </c>
      <c r="C4" s="1">
        <v>0</v>
      </c>
      <c r="D4" s="2">
        <v>0</v>
      </c>
      <c r="E4" s="1" t="s">
        <v>92</v>
      </c>
      <c r="H4" s="1">
        <v>0</v>
      </c>
      <c r="I4" s="1">
        <v>0</v>
      </c>
      <c r="J4" s="1">
        <v>0.05</v>
      </c>
      <c r="K4" s="1">
        <v>-0.05</v>
      </c>
      <c r="L4" s="1">
        <v>0</v>
      </c>
      <c r="M4" s="1">
        <v>0</v>
      </c>
      <c r="N4" s="1">
        <v>19.03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 t="s">
        <v>425</v>
      </c>
      <c r="AC4" s="1" t="s">
        <v>426</v>
      </c>
    </row>
    <row r="5" spans="1:29">
      <c r="A5" s="1">
        <v>20220408</v>
      </c>
      <c r="B5" s="1">
        <v>20220408</v>
      </c>
      <c r="C5" s="1">
        <v>0</v>
      </c>
      <c r="D5" s="2">
        <v>0</v>
      </c>
      <c r="E5" s="1" t="s">
        <v>92</v>
      </c>
      <c r="H5" s="1">
        <v>0</v>
      </c>
      <c r="I5" s="1">
        <v>0</v>
      </c>
      <c r="J5" s="1">
        <v>0.05</v>
      </c>
      <c r="K5" s="1">
        <v>-0.05</v>
      </c>
      <c r="L5" s="1">
        <v>0</v>
      </c>
      <c r="M5" s="1">
        <v>0</v>
      </c>
      <c r="N5" s="1">
        <v>18.98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 t="s">
        <v>425</v>
      </c>
      <c r="AC5" s="1" t="s">
        <v>426</v>
      </c>
    </row>
    <row r="6" spans="1:29">
      <c r="A6" s="1">
        <v>20220411</v>
      </c>
      <c r="B6" s="1">
        <v>20220411</v>
      </c>
      <c r="C6" s="1">
        <v>0</v>
      </c>
      <c r="D6" s="2">
        <v>0</v>
      </c>
      <c r="E6" s="1" t="s">
        <v>92</v>
      </c>
      <c r="H6" s="1">
        <v>0</v>
      </c>
      <c r="I6" s="1">
        <v>0</v>
      </c>
      <c r="J6" s="1">
        <v>0.15</v>
      </c>
      <c r="K6" s="1">
        <v>-0.15</v>
      </c>
      <c r="L6" s="1">
        <v>0</v>
      </c>
      <c r="M6" s="1">
        <v>0</v>
      </c>
      <c r="N6" s="1">
        <v>18.83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 t="s">
        <v>425</v>
      </c>
      <c r="AC6" s="1" t="s">
        <v>426</v>
      </c>
    </row>
    <row r="7" spans="1:29">
      <c r="A7" s="1">
        <v>20220412</v>
      </c>
      <c r="B7" s="1">
        <v>20220412</v>
      </c>
      <c r="C7" s="1">
        <v>0</v>
      </c>
      <c r="D7" s="2">
        <v>0</v>
      </c>
      <c r="E7" s="1" t="s">
        <v>92</v>
      </c>
      <c r="H7" s="1">
        <v>0</v>
      </c>
      <c r="I7" s="1">
        <v>0</v>
      </c>
      <c r="J7" s="1">
        <v>0.05</v>
      </c>
      <c r="K7" s="1">
        <v>-0.05</v>
      </c>
      <c r="L7" s="1">
        <v>0</v>
      </c>
      <c r="M7" s="1">
        <v>0</v>
      </c>
      <c r="N7" s="1">
        <v>18.78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 t="s">
        <v>425</v>
      </c>
      <c r="AC7" s="1" t="s">
        <v>426</v>
      </c>
    </row>
    <row r="8" spans="1:29">
      <c r="A8" s="1">
        <v>20220413</v>
      </c>
      <c r="B8" s="1">
        <v>20220413</v>
      </c>
      <c r="C8" s="1">
        <v>0</v>
      </c>
      <c r="D8" s="2">
        <v>0</v>
      </c>
      <c r="E8" s="1" t="s">
        <v>92</v>
      </c>
      <c r="H8" s="1">
        <v>0</v>
      </c>
      <c r="I8" s="1">
        <v>0</v>
      </c>
      <c r="J8" s="1">
        <v>0.05</v>
      </c>
      <c r="K8" s="1">
        <v>-0.05</v>
      </c>
      <c r="L8" s="1">
        <v>0</v>
      </c>
      <c r="M8" s="1">
        <v>0</v>
      </c>
      <c r="N8" s="1">
        <v>18.73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 t="s">
        <v>425</v>
      </c>
      <c r="AC8" s="1" t="s">
        <v>426</v>
      </c>
    </row>
    <row r="9" spans="1:29">
      <c r="A9" s="1">
        <v>20220414</v>
      </c>
      <c r="B9" s="1">
        <v>20220414</v>
      </c>
      <c r="C9" s="1">
        <v>0</v>
      </c>
      <c r="D9" s="2">
        <v>0</v>
      </c>
      <c r="E9" s="1" t="s">
        <v>92</v>
      </c>
      <c r="H9" s="1">
        <v>0</v>
      </c>
      <c r="I9" s="1">
        <v>0</v>
      </c>
      <c r="J9" s="1">
        <v>0.05</v>
      </c>
      <c r="K9" s="1">
        <v>-0.05</v>
      </c>
      <c r="L9" s="1">
        <v>0</v>
      </c>
      <c r="M9" s="1">
        <v>0</v>
      </c>
      <c r="N9" s="1">
        <v>18.68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 t="s">
        <v>425</v>
      </c>
      <c r="AC9" s="1" t="s">
        <v>426</v>
      </c>
    </row>
    <row r="10" spans="1:29">
      <c r="A10" s="1">
        <v>20220419</v>
      </c>
      <c r="B10" s="1">
        <v>20220419</v>
      </c>
      <c r="C10" s="1">
        <v>0</v>
      </c>
      <c r="D10" s="2">
        <v>0</v>
      </c>
      <c r="E10" s="1" t="s">
        <v>92</v>
      </c>
      <c r="H10" s="1">
        <v>0</v>
      </c>
      <c r="I10" s="1">
        <v>0</v>
      </c>
      <c r="J10" s="1">
        <v>0.25</v>
      </c>
      <c r="K10" s="1">
        <v>-0.25</v>
      </c>
      <c r="L10" s="1">
        <v>0</v>
      </c>
      <c r="M10" s="1">
        <v>0</v>
      </c>
      <c r="N10" s="1">
        <v>18.43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 t="s">
        <v>425</v>
      </c>
      <c r="AC10" s="1" t="s">
        <v>426</v>
      </c>
    </row>
    <row r="11" spans="1:29">
      <c r="A11" s="1">
        <v>20220420</v>
      </c>
      <c r="B11" s="1">
        <v>20220420</v>
      </c>
      <c r="C11" s="1">
        <v>0</v>
      </c>
      <c r="D11" s="2">
        <v>0</v>
      </c>
      <c r="E11" s="1" t="s">
        <v>92</v>
      </c>
      <c r="H11" s="1">
        <v>0</v>
      </c>
      <c r="I11" s="1">
        <v>0</v>
      </c>
      <c r="J11" s="1">
        <v>0.05</v>
      </c>
      <c r="K11" s="1">
        <v>-0.05</v>
      </c>
      <c r="L11" s="1">
        <v>0</v>
      </c>
      <c r="M11" s="1">
        <v>0</v>
      </c>
      <c r="N11" s="1">
        <v>18.38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 t="s">
        <v>425</v>
      </c>
      <c r="AC11" s="1" t="s">
        <v>426</v>
      </c>
    </row>
    <row r="12" spans="1:29">
      <c r="A12" s="1">
        <v>20220421</v>
      </c>
      <c r="B12" s="1">
        <v>20220421</v>
      </c>
      <c r="C12" s="1">
        <v>0</v>
      </c>
      <c r="D12" s="2">
        <v>0</v>
      </c>
      <c r="E12" s="1" t="s">
        <v>92</v>
      </c>
      <c r="H12" s="1">
        <v>0</v>
      </c>
      <c r="I12" s="1">
        <v>0</v>
      </c>
      <c r="J12" s="1">
        <v>0.05</v>
      </c>
      <c r="K12" s="1">
        <v>-0.05</v>
      </c>
      <c r="L12" s="1">
        <v>0</v>
      </c>
      <c r="M12" s="1">
        <v>0</v>
      </c>
      <c r="N12" s="1">
        <v>18.33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 t="s">
        <v>425</v>
      </c>
      <c r="AC12" s="1" t="s">
        <v>426</v>
      </c>
    </row>
    <row r="13" spans="1:29">
      <c r="A13" s="1">
        <v>20220422</v>
      </c>
      <c r="B13" s="1">
        <v>20220422</v>
      </c>
      <c r="C13" s="1">
        <v>0</v>
      </c>
      <c r="D13" s="2">
        <v>0</v>
      </c>
      <c r="E13" s="1" t="s">
        <v>92</v>
      </c>
      <c r="H13" s="1">
        <v>0</v>
      </c>
      <c r="I13" s="1">
        <v>0</v>
      </c>
      <c r="J13" s="1">
        <v>0.05</v>
      </c>
      <c r="K13" s="1">
        <v>-0.05</v>
      </c>
      <c r="L13" s="1">
        <v>0</v>
      </c>
      <c r="M13" s="1">
        <v>0</v>
      </c>
      <c r="N13" s="1">
        <v>18.28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 t="s">
        <v>425</v>
      </c>
      <c r="AC13" s="1" t="s">
        <v>426</v>
      </c>
    </row>
    <row r="14" spans="1:29">
      <c r="A14" s="1">
        <v>20220425</v>
      </c>
      <c r="B14" s="1">
        <v>20220425</v>
      </c>
      <c r="C14" s="1">
        <v>0</v>
      </c>
      <c r="D14" s="2">
        <v>0</v>
      </c>
      <c r="E14" s="1" t="s">
        <v>92</v>
      </c>
      <c r="H14" s="1">
        <v>0</v>
      </c>
      <c r="I14" s="1">
        <v>0</v>
      </c>
      <c r="J14" s="1">
        <v>0.15</v>
      </c>
      <c r="K14" s="1">
        <v>-0.15</v>
      </c>
      <c r="L14" s="1">
        <v>0</v>
      </c>
      <c r="M14" s="1">
        <v>0</v>
      </c>
      <c r="N14" s="1">
        <v>18.13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 t="s">
        <v>425</v>
      </c>
      <c r="AC14" s="1" t="s">
        <v>426</v>
      </c>
    </row>
    <row r="15" spans="1:29">
      <c r="A15" s="1">
        <v>20220426</v>
      </c>
      <c r="B15" s="1">
        <v>20220426</v>
      </c>
      <c r="C15" s="1">
        <v>0</v>
      </c>
      <c r="D15" s="2">
        <v>0</v>
      </c>
      <c r="E15" s="1" t="s">
        <v>92</v>
      </c>
      <c r="H15" s="1">
        <v>0</v>
      </c>
      <c r="I15" s="1">
        <v>0</v>
      </c>
      <c r="J15" s="1">
        <v>0.05</v>
      </c>
      <c r="K15" s="1">
        <v>-0.05</v>
      </c>
      <c r="L15" s="1">
        <v>0</v>
      </c>
      <c r="M15" s="1">
        <v>0</v>
      </c>
      <c r="N15" s="1">
        <v>18.08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 t="s">
        <v>425</v>
      </c>
      <c r="AC15" s="1" t="s">
        <v>426</v>
      </c>
    </row>
    <row r="16" spans="1:29">
      <c r="A16" s="1">
        <v>20220427</v>
      </c>
      <c r="B16" s="1">
        <v>20220427</v>
      </c>
      <c r="C16" s="1">
        <v>0</v>
      </c>
      <c r="D16" s="2">
        <v>0</v>
      </c>
      <c r="E16" s="1" t="s">
        <v>92</v>
      </c>
      <c r="H16" s="1">
        <v>0</v>
      </c>
      <c r="I16" s="1">
        <v>0</v>
      </c>
      <c r="J16" s="1">
        <v>0.05</v>
      </c>
      <c r="K16" s="1">
        <v>-0.05</v>
      </c>
      <c r="L16" s="1">
        <v>0</v>
      </c>
      <c r="M16" s="1">
        <v>0</v>
      </c>
      <c r="N16" s="1">
        <v>18.03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 t="s">
        <v>425</v>
      </c>
      <c r="AC16" s="1" t="s">
        <v>426</v>
      </c>
    </row>
    <row r="17" spans="1:29">
      <c r="A17" s="1">
        <v>20220428</v>
      </c>
      <c r="B17" s="1">
        <v>20220428</v>
      </c>
      <c r="C17" s="1">
        <v>0</v>
      </c>
      <c r="D17" s="2">
        <v>0</v>
      </c>
      <c r="E17" s="1" t="s">
        <v>92</v>
      </c>
      <c r="H17" s="1">
        <v>0</v>
      </c>
      <c r="I17" s="1">
        <v>0</v>
      </c>
      <c r="J17" s="1">
        <v>0.05</v>
      </c>
      <c r="K17" s="1">
        <v>-0.05</v>
      </c>
      <c r="L17" s="1">
        <v>0</v>
      </c>
      <c r="M17" s="1">
        <v>0</v>
      </c>
      <c r="N17" s="1">
        <v>17.98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 t="s">
        <v>425</v>
      </c>
      <c r="AC17" s="1" t="s">
        <v>426</v>
      </c>
    </row>
    <row r="18" spans="1:29">
      <c r="A18" s="1">
        <v>20220429</v>
      </c>
      <c r="B18" s="1">
        <v>20220429</v>
      </c>
      <c r="C18" s="1">
        <v>0</v>
      </c>
      <c r="D18" s="2">
        <v>0</v>
      </c>
      <c r="E18" s="1" t="s">
        <v>92</v>
      </c>
      <c r="H18" s="1">
        <v>0</v>
      </c>
      <c r="I18" s="1">
        <v>0</v>
      </c>
      <c r="J18" s="1">
        <v>0.05</v>
      </c>
      <c r="K18" s="1">
        <v>-0.05</v>
      </c>
      <c r="L18" s="1">
        <v>0</v>
      </c>
      <c r="M18" s="1">
        <v>0</v>
      </c>
      <c r="N18" s="1">
        <v>17.93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 t="s">
        <v>425</v>
      </c>
      <c r="AC18" s="1" t="s">
        <v>426</v>
      </c>
    </row>
    <row r="19" spans="1:29">
      <c r="A19" s="1">
        <v>20220505</v>
      </c>
      <c r="B19" s="1">
        <v>20220505</v>
      </c>
      <c r="C19" s="1">
        <v>0</v>
      </c>
      <c r="D19" s="2">
        <v>0</v>
      </c>
      <c r="E19" s="1" t="s">
        <v>92</v>
      </c>
      <c r="H19" s="1">
        <v>0</v>
      </c>
      <c r="I19" s="1">
        <v>0</v>
      </c>
      <c r="J19" s="1">
        <v>0.31</v>
      </c>
      <c r="K19" s="1">
        <v>-0.31</v>
      </c>
      <c r="L19" s="1">
        <v>0</v>
      </c>
      <c r="M19" s="1">
        <v>0</v>
      </c>
      <c r="N19" s="1">
        <v>17.62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 t="s">
        <v>425</v>
      </c>
      <c r="AC19" s="1" t="s">
        <v>426</v>
      </c>
    </row>
    <row r="20" spans="1:29">
      <c r="A20" s="1">
        <v>20220506</v>
      </c>
      <c r="B20" s="1">
        <v>20220506</v>
      </c>
      <c r="C20" s="1">
        <v>0</v>
      </c>
      <c r="D20" s="2">
        <v>0</v>
      </c>
      <c r="E20" s="1" t="s">
        <v>92</v>
      </c>
      <c r="H20" s="1">
        <v>0</v>
      </c>
      <c r="I20" s="1">
        <v>0</v>
      </c>
      <c r="J20" s="1">
        <v>0.05</v>
      </c>
      <c r="K20" s="1">
        <v>-0.05</v>
      </c>
      <c r="L20" s="1">
        <v>0</v>
      </c>
      <c r="M20" s="1">
        <v>0</v>
      </c>
      <c r="N20" s="1">
        <v>17.57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 t="s">
        <v>425</v>
      </c>
      <c r="AC20" s="1" t="s">
        <v>426</v>
      </c>
    </row>
    <row r="21" spans="1:29">
      <c r="A21" s="1">
        <v>20220510</v>
      </c>
      <c r="B21" s="1">
        <v>20220510</v>
      </c>
      <c r="C21" s="1">
        <v>0</v>
      </c>
      <c r="D21" s="2">
        <v>0</v>
      </c>
      <c r="E21" s="1" t="s">
        <v>92</v>
      </c>
      <c r="H21" s="1">
        <v>0</v>
      </c>
      <c r="I21" s="1">
        <v>0</v>
      </c>
      <c r="J21" s="1">
        <v>0.21</v>
      </c>
      <c r="K21" s="1">
        <v>-0.21</v>
      </c>
      <c r="L21" s="1">
        <v>0</v>
      </c>
      <c r="M21" s="1">
        <v>0</v>
      </c>
      <c r="N21" s="1">
        <v>17.36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 t="s">
        <v>425</v>
      </c>
      <c r="AC21" s="1" t="s">
        <v>426</v>
      </c>
    </row>
    <row r="22" spans="1:29">
      <c r="A22" s="1">
        <v>20220511</v>
      </c>
      <c r="B22" s="1">
        <v>20220511</v>
      </c>
      <c r="C22" s="1">
        <v>0</v>
      </c>
      <c r="D22" s="2">
        <v>0</v>
      </c>
      <c r="E22" s="1" t="s">
        <v>92</v>
      </c>
      <c r="H22" s="1">
        <v>0</v>
      </c>
      <c r="I22" s="1">
        <v>0</v>
      </c>
      <c r="J22" s="1">
        <v>0.05</v>
      </c>
      <c r="K22" s="1">
        <v>-0.05</v>
      </c>
      <c r="L22" s="1">
        <v>0</v>
      </c>
      <c r="M22" s="1">
        <v>0</v>
      </c>
      <c r="N22" s="1">
        <v>17.31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 t="s">
        <v>425</v>
      </c>
      <c r="AC22" s="1" t="s">
        <v>426</v>
      </c>
    </row>
    <row r="23" spans="1:29">
      <c r="A23" s="1">
        <v>20220512</v>
      </c>
      <c r="B23" s="1">
        <v>20220512</v>
      </c>
      <c r="C23" s="1">
        <v>0</v>
      </c>
      <c r="D23" s="2">
        <v>0</v>
      </c>
      <c r="E23" s="1" t="s">
        <v>92</v>
      </c>
      <c r="H23" s="1">
        <v>0</v>
      </c>
      <c r="I23" s="1">
        <v>0</v>
      </c>
      <c r="J23" s="1">
        <v>0.05</v>
      </c>
      <c r="K23" s="1">
        <v>-0.05</v>
      </c>
      <c r="L23" s="1">
        <v>0</v>
      </c>
      <c r="M23" s="1">
        <v>0</v>
      </c>
      <c r="N23" s="1">
        <v>17.26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 t="s">
        <v>425</v>
      </c>
      <c r="AC23" s="1" t="s">
        <v>426</v>
      </c>
    </row>
    <row r="24" spans="1:29">
      <c r="A24" s="1">
        <v>20220513</v>
      </c>
      <c r="B24" s="1">
        <v>20220513</v>
      </c>
      <c r="C24" s="1">
        <v>0</v>
      </c>
      <c r="D24" s="2">
        <v>0</v>
      </c>
      <c r="E24" s="1" t="s">
        <v>92</v>
      </c>
      <c r="H24" s="1">
        <v>0</v>
      </c>
      <c r="I24" s="1">
        <v>0</v>
      </c>
      <c r="J24" s="1">
        <v>0.05</v>
      </c>
      <c r="K24" s="1">
        <v>-0.05</v>
      </c>
      <c r="L24" s="1">
        <v>0</v>
      </c>
      <c r="M24" s="1">
        <v>0</v>
      </c>
      <c r="N24" s="1">
        <v>17.21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 t="s">
        <v>425</v>
      </c>
      <c r="AC24" s="1" t="s">
        <v>426</v>
      </c>
    </row>
    <row r="25" spans="1:29">
      <c r="A25" s="1">
        <v>20220516</v>
      </c>
      <c r="B25" s="1">
        <v>20220516</v>
      </c>
      <c r="C25" s="1">
        <v>0</v>
      </c>
      <c r="D25" s="2">
        <v>0</v>
      </c>
      <c r="E25" s="1" t="s">
        <v>92</v>
      </c>
      <c r="H25" s="1">
        <v>0</v>
      </c>
      <c r="I25" s="1">
        <v>0</v>
      </c>
      <c r="J25" s="1">
        <v>0.16</v>
      </c>
      <c r="K25" s="1">
        <v>-0.16</v>
      </c>
      <c r="L25" s="1">
        <v>0</v>
      </c>
      <c r="M25" s="1">
        <v>0</v>
      </c>
      <c r="N25" s="1">
        <v>17.05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 t="s">
        <v>425</v>
      </c>
      <c r="AC25" s="1" t="s">
        <v>426</v>
      </c>
    </row>
    <row r="26" spans="1:29">
      <c r="A26" s="1">
        <v>20220517</v>
      </c>
      <c r="B26" s="1">
        <v>20220517</v>
      </c>
      <c r="C26" s="1">
        <v>0</v>
      </c>
      <c r="D26" s="2">
        <v>0</v>
      </c>
      <c r="E26" s="1" t="s">
        <v>92</v>
      </c>
      <c r="H26" s="1">
        <v>0</v>
      </c>
      <c r="I26" s="1">
        <v>0</v>
      </c>
      <c r="J26" s="1">
        <v>0.05</v>
      </c>
      <c r="K26" s="1">
        <v>-0.05</v>
      </c>
      <c r="L26" s="1">
        <v>0</v>
      </c>
      <c r="M26" s="1">
        <v>0</v>
      </c>
      <c r="N26" s="1">
        <v>17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 t="s">
        <v>425</v>
      </c>
      <c r="AC26" s="1" t="s">
        <v>426</v>
      </c>
    </row>
    <row r="27" spans="1:29">
      <c r="A27" s="1">
        <v>20220518</v>
      </c>
      <c r="B27" s="1">
        <v>20220518</v>
      </c>
      <c r="C27" s="1">
        <v>0</v>
      </c>
      <c r="D27" s="2">
        <v>0</v>
      </c>
      <c r="E27" s="1" t="s">
        <v>92</v>
      </c>
      <c r="H27" s="1">
        <v>0</v>
      </c>
      <c r="I27" s="1">
        <v>0</v>
      </c>
      <c r="J27" s="1">
        <v>0.05</v>
      </c>
      <c r="K27" s="1">
        <v>-0.05</v>
      </c>
      <c r="L27" s="1">
        <v>0</v>
      </c>
      <c r="M27" s="1">
        <v>0</v>
      </c>
      <c r="N27" s="1">
        <v>16.95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 t="s">
        <v>425</v>
      </c>
      <c r="AC27" s="1" t="s">
        <v>426</v>
      </c>
    </row>
    <row r="28" spans="1:29">
      <c r="A28" s="1">
        <v>20220519</v>
      </c>
      <c r="B28" s="1">
        <v>20220519</v>
      </c>
      <c r="C28" s="1">
        <v>0</v>
      </c>
      <c r="D28" s="2">
        <v>0</v>
      </c>
      <c r="E28" s="1" t="s">
        <v>92</v>
      </c>
      <c r="H28" s="1">
        <v>0</v>
      </c>
      <c r="I28" s="1">
        <v>0</v>
      </c>
      <c r="J28" s="1">
        <v>0.05</v>
      </c>
      <c r="K28" s="1">
        <v>-0.05</v>
      </c>
      <c r="L28" s="1">
        <v>0</v>
      </c>
      <c r="M28" s="1">
        <v>0</v>
      </c>
      <c r="N28" s="1">
        <v>16.9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 t="s">
        <v>425</v>
      </c>
      <c r="AC28" s="1" t="s">
        <v>426</v>
      </c>
    </row>
    <row r="29" spans="1:29">
      <c r="A29" s="1">
        <v>20220520</v>
      </c>
      <c r="B29" s="1">
        <v>20220520</v>
      </c>
      <c r="C29" s="1">
        <v>0</v>
      </c>
      <c r="D29" s="2">
        <v>0</v>
      </c>
      <c r="E29" s="1" t="s">
        <v>92</v>
      </c>
      <c r="H29" s="1">
        <v>0</v>
      </c>
      <c r="I29" s="1">
        <v>0</v>
      </c>
      <c r="J29" s="1">
        <v>0.05</v>
      </c>
      <c r="K29" s="1">
        <v>-0.05</v>
      </c>
      <c r="L29" s="1">
        <v>0</v>
      </c>
      <c r="M29" s="1">
        <v>0</v>
      </c>
      <c r="N29" s="1">
        <v>16.85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 t="s">
        <v>425</v>
      </c>
      <c r="AC29" s="1" t="s">
        <v>426</v>
      </c>
    </row>
    <row r="30" spans="1:29">
      <c r="A30" s="1">
        <v>20220523</v>
      </c>
      <c r="B30" s="1">
        <v>20220523</v>
      </c>
      <c r="C30" s="1">
        <v>0</v>
      </c>
      <c r="D30" s="2">
        <v>0</v>
      </c>
      <c r="E30" s="1" t="s">
        <v>92</v>
      </c>
      <c r="H30" s="1">
        <v>0</v>
      </c>
      <c r="I30" s="1">
        <v>0</v>
      </c>
      <c r="J30" s="1">
        <v>0.15</v>
      </c>
      <c r="K30" s="1">
        <v>-0.15</v>
      </c>
      <c r="L30" s="1">
        <v>0</v>
      </c>
      <c r="M30" s="1">
        <v>0</v>
      </c>
      <c r="N30" s="1">
        <v>16.7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 t="s">
        <v>425</v>
      </c>
      <c r="AC30" s="1" t="s">
        <v>426</v>
      </c>
    </row>
    <row r="31" spans="1:29">
      <c r="A31" s="1">
        <v>20220524</v>
      </c>
      <c r="B31" s="1">
        <v>20220524</v>
      </c>
      <c r="C31" s="1">
        <v>0</v>
      </c>
      <c r="D31" s="2">
        <v>0</v>
      </c>
      <c r="E31" s="1" t="s">
        <v>92</v>
      </c>
      <c r="H31" s="1">
        <v>0</v>
      </c>
      <c r="I31" s="1">
        <v>0</v>
      </c>
      <c r="J31" s="1">
        <v>0.05</v>
      </c>
      <c r="K31" s="1">
        <v>-0.05</v>
      </c>
      <c r="L31" s="1">
        <v>0</v>
      </c>
      <c r="M31" s="1">
        <v>0</v>
      </c>
      <c r="N31" s="1">
        <v>16.65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 t="s">
        <v>425</v>
      </c>
      <c r="AC31" s="1" t="s">
        <v>426</v>
      </c>
    </row>
    <row r="32" spans="1:29">
      <c r="A32" s="1">
        <v>20220525</v>
      </c>
      <c r="B32" s="1">
        <v>20220525</v>
      </c>
      <c r="C32" s="1">
        <v>0</v>
      </c>
      <c r="D32" s="2">
        <v>0</v>
      </c>
      <c r="E32" s="1" t="s">
        <v>92</v>
      </c>
      <c r="H32" s="1">
        <v>0</v>
      </c>
      <c r="I32" s="1">
        <v>0</v>
      </c>
      <c r="J32" s="1">
        <v>0.05</v>
      </c>
      <c r="K32" s="1">
        <v>-0.05</v>
      </c>
      <c r="L32" s="1">
        <v>0</v>
      </c>
      <c r="M32" s="1">
        <v>0</v>
      </c>
      <c r="N32" s="1">
        <v>16.6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 t="s">
        <v>425</v>
      </c>
      <c r="AC32" s="1" t="s">
        <v>426</v>
      </c>
    </row>
    <row r="33" spans="1:29">
      <c r="A33" s="1">
        <v>20220526</v>
      </c>
      <c r="B33" s="1">
        <v>20220526</v>
      </c>
      <c r="C33" s="1">
        <v>0</v>
      </c>
      <c r="D33" s="2">
        <v>0</v>
      </c>
      <c r="E33" s="1" t="s">
        <v>92</v>
      </c>
      <c r="H33" s="1">
        <v>0</v>
      </c>
      <c r="I33" s="1">
        <v>0</v>
      </c>
      <c r="J33" s="1">
        <v>0.05</v>
      </c>
      <c r="K33" s="1">
        <v>-0.05</v>
      </c>
      <c r="L33" s="1">
        <v>0</v>
      </c>
      <c r="M33" s="1">
        <v>0</v>
      </c>
      <c r="N33" s="1">
        <v>16.55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 t="s">
        <v>425</v>
      </c>
      <c r="AC33" s="1" t="s">
        <v>426</v>
      </c>
    </row>
    <row r="34" spans="1:29">
      <c r="A34" s="1">
        <v>20220527</v>
      </c>
      <c r="B34" s="1">
        <v>20220527</v>
      </c>
      <c r="C34" s="1">
        <v>0</v>
      </c>
      <c r="D34" s="2">
        <v>0</v>
      </c>
      <c r="E34" s="1" t="s">
        <v>92</v>
      </c>
      <c r="H34" s="1">
        <v>0</v>
      </c>
      <c r="I34" s="1">
        <v>0</v>
      </c>
      <c r="J34" s="1">
        <v>0.05</v>
      </c>
      <c r="K34" s="1">
        <v>-0.05</v>
      </c>
      <c r="L34" s="1">
        <v>0</v>
      </c>
      <c r="M34" s="1">
        <v>0</v>
      </c>
      <c r="N34" s="1">
        <v>16.5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 t="s">
        <v>425</v>
      </c>
      <c r="AC34" s="1" t="s">
        <v>426</v>
      </c>
    </row>
    <row r="35" spans="1:29">
      <c r="A35" s="1">
        <v>20220530</v>
      </c>
      <c r="B35" s="1">
        <v>20220530</v>
      </c>
      <c r="C35" s="1">
        <v>0</v>
      </c>
      <c r="D35" s="2">
        <v>0</v>
      </c>
      <c r="E35" s="1" t="s">
        <v>92</v>
      </c>
      <c r="H35" s="1">
        <v>0</v>
      </c>
      <c r="I35" s="1">
        <v>0</v>
      </c>
      <c r="J35" s="1">
        <v>0.15</v>
      </c>
      <c r="K35" s="1">
        <v>-0.15</v>
      </c>
      <c r="L35" s="1">
        <v>0</v>
      </c>
      <c r="M35" s="1">
        <v>0</v>
      </c>
      <c r="N35" s="1">
        <v>16.35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 t="s">
        <v>425</v>
      </c>
      <c r="AC35" s="1" t="s">
        <v>426</v>
      </c>
    </row>
    <row r="36" spans="1:29">
      <c r="A36" s="1">
        <v>20220531</v>
      </c>
      <c r="B36" s="1">
        <v>20220531</v>
      </c>
      <c r="C36" s="1">
        <v>0</v>
      </c>
      <c r="D36" s="2">
        <v>0</v>
      </c>
      <c r="E36" s="1" t="s">
        <v>92</v>
      </c>
      <c r="H36" s="1">
        <v>0</v>
      </c>
      <c r="I36" s="1">
        <v>0</v>
      </c>
      <c r="J36" s="1">
        <v>0.05</v>
      </c>
      <c r="K36" s="1">
        <v>-0.05</v>
      </c>
      <c r="L36" s="1">
        <v>0</v>
      </c>
      <c r="M36" s="1">
        <v>0</v>
      </c>
      <c r="N36" s="1">
        <v>16.3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 t="s">
        <v>425</v>
      </c>
      <c r="AC36" s="1" t="s">
        <v>426</v>
      </c>
    </row>
    <row r="37" spans="1:29">
      <c r="A37" s="1">
        <v>20220601</v>
      </c>
      <c r="B37" s="1">
        <v>20220601</v>
      </c>
      <c r="C37" s="1">
        <v>0</v>
      </c>
      <c r="D37" s="2">
        <v>0</v>
      </c>
      <c r="E37" s="1" t="s">
        <v>92</v>
      </c>
      <c r="H37" s="1">
        <v>0</v>
      </c>
      <c r="I37" s="1">
        <v>0</v>
      </c>
      <c r="J37" s="1">
        <v>0.05</v>
      </c>
      <c r="K37" s="1">
        <v>-0.05</v>
      </c>
      <c r="L37" s="1">
        <v>0</v>
      </c>
      <c r="M37" s="1">
        <v>0</v>
      </c>
      <c r="N37" s="1">
        <v>16.25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 t="s">
        <v>425</v>
      </c>
      <c r="AC37" s="1" t="s">
        <v>426</v>
      </c>
    </row>
    <row r="38" spans="1:29">
      <c r="A38" s="1">
        <v>20220602</v>
      </c>
      <c r="B38" s="1">
        <v>20220602</v>
      </c>
      <c r="C38" s="1">
        <v>0</v>
      </c>
      <c r="D38" s="2">
        <v>0</v>
      </c>
      <c r="E38" s="1" t="s">
        <v>92</v>
      </c>
      <c r="H38" s="1">
        <v>0</v>
      </c>
      <c r="I38" s="1">
        <v>0</v>
      </c>
      <c r="J38" s="1">
        <v>0.05</v>
      </c>
      <c r="K38" s="1">
        <v>-0.05</v>
      </c>
      <c r="L38" s="1">
        <v>0</v>
      </c>
      <c r="M38" s="1">
        <v>0</v>
      </c>
      <c r="N38" s="1">
        <v>16.2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 t="s">
        <v>425</v>
      </c>
      <c r="AC38" s="1" t="s">
        <v>426</v>
      </c>
    </row>
    <row r="39" spans="1:29">
      <c r="A39" s="1">
        <v>20220606</v>
      </c>
      <c r="B39" s="1">
        <v>20220606</v>
      </c>
      <c r="C39" s="1">
        <v>0</v>
      </c>
      <c r="D39" s="2">
        <v>0</v>
      </c>
      <c r="E39" s="1" t="s">
        <v>92</v>
      </c>
      <c r="H39" s="1">
        <v>0</v>
      </c>
      <c r="I39" s="1">
        <v>0</v>
      </c>
      <c r="J39" s="1">
        <v>0.2</v>
      </c>
      <c r="K39" s="1">
        <v>-0.2</v>
      </c>
      <c r="L39" s="1">
        <v>0</v>
      </c>
      <c r="M39" s="1">
        <v>0</v>
      </c>
      <c r="N39" s="1">
        <v>16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 t="s">
        <v>425</v>
      </c>
      <c r="AC39" s="1" t="s">
        <v>426</v>
      </c>
    </row>
    <row r="40" spans="1:29">
      <c r="A40" s="1">
        <v>20220607</v>
      </c>
      <c r="B40" s="1">
        <v>20220607</v>
      </c>
      <c r="C40" s="1">
        <v>0</v>
      </c>
      <c r="D40" s="2">
        <v>0</v>
      </c>
      <c r="E40" s="1" t="s">
        <v>92</v>
      </c>
      <c r="H40" s="1">
        <v>0</v>
      </c>
      <c r="I40" s="1">
        <v>0</v>
      </c>
      <c r="J40" s="1">
        <v>0.05</v>
      </c>
      <c r="K40" s="1">
        <v>-0.05</v>
      </c>
      <c r="L40" s="1">
        <v>0</v>
      </c>
      <c r="M40" s="1">
        <v>0</v>
      </c>
      <c r="N40" s="1">
        <v>15.95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 t="s">
        <v>425</v>
      </c>
      <c r="AC40" s="1" t="s">
        <v>426</v>
      </c>
    </row>
    <row r="41" spans="1:29">
      <c r="A41" s="1">
        <v>20220608</v>
      </c>
      <c r="B41" s="1">
        <v>20220608</v>
      </c>
      <c r="C41" s="1">
        <v>0</v>
      </c>
      <c r="D41" s="2">
        <v>0</v>
      </c>
      <c r="E41" s="1" t="s">
        <v>92</v>
      </c>
      <c r="H41" s="1">
        <v>0</v>
      </c>
      <c r="I41" s="1">
        <v>0</v>
      </c>
      <c r="J41" s="1">
        <v>0.05</v>
      </c>
      <c r="K41" s="1">
        <v>-0.05</v>
      </c>
      <c r="L41" s="1">
        <v>0</v>
      </c>
      <c r="M41" s="1">
        <v>0</v>
      </c>
      <c r="N41" s="1">
        <v>15.9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 t="s">
        <v>425</v>
      </c>
      <c r="AC41" s="1" t="s">
        <v>426</v>
      </c>
    </row>
    <row r="42" spans="1:29">
      <c r="A42" s="1">
        <v>20220609</v>
      </c>
      <c r="B42" s="1">
        <v>20220609</v>
      </c>
      <c r="C42" s="1">
        <v>0</v>
      </c>
      <c r="D42" s="2">
        <v>0</v>
      </c>
      <c r="E42" s="1" t="s">
        <v>92</v>
      </c>
      <c r="H42" s="1">
        <v>0</v>
      </c>
      <c r="I42" s="1">
        <v>0</v>
      </c>
      <c r="J42" s="1">
        <v>0.05</v>
      </c>
      <c r="K42" s="1">
        <v>-0.05</v>
      </c>
      <c r="L42" s="1">
        <v>0</v>
      </c>
      <c r="M42" s="1">
        <v>0</v>
      </c>
      <c r="N42" s="1">
        <v>15.85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 t="s">
        <v>425</v>
      </c>
      <c r="AC42" s="1" t="s">
        <v>426</v>
      </c>
    </row>
    <row r="43" spans="1:29">
      <c r="A43" s="1">
        <v>20220610</v>
      </c>
      <c r="B43" s="1">
        <v>20220610</v>
      </c>
      <c r="C43" s="1">
        <v>0</v>
      </c>
      <c r="D43" s="2">
        <v>0</v>
      </c>
      <c r="E43" s="1" t="s">
        <v>92</v>
      </c>
      <c r="H43" s="1">
        <v>0</v>
      </c>
      <c r="I43" s="1">
        <v>0</v>
      </c>
      <c r="J43" s="1">
        <v>0.05</v>
      </c>
      <c r="K43" s="1">
        <v>-0.05</v>
      </c>
      <c r="L43" s="1">
        <v>0</v>
      </c>
      <c r="M43" s="1">
        <v>0</v>
      </c>
      <c r="N43" s="1">
        <v>15.8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 t="s">
        <v>425</v>
      </c>
      <c r="AC43" s="1" t="s">
        <v>426</v>
      </c>
    </row>
    <row r="44" spans="1:29">
      <c r="A44" s="1">
        <v>20220613</v>
      </c>
      <c r="B44" s="1">
        <v>20220613</v>
      </c>
      <c r="C44" s="1">
        <v>0</v>
      </c>
      <c r="D44" s="2">
        <v>0</v>
      </c>
      <c r="E44" s="1" t="s">
        <v>92</v>
      </c>
      <c r="H44" s="1">
        <v>0</v>
      </c>
      <c r="I44" s="1">
        <v>0</v>
      </c>
      <c r="J44" s="1">
        <v>0.15</v>
      </c>
      <c r="K44" s="1">
        <v>-0.15</v>
      </c>
      <c r="L44" s="1">
        <v>0</v>
      </c>
      <c r="M44" s="1">
        <v>0</v>
      </c>
      <c r="N44" s="1">
        <v>15.65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 t="s">
        <v>425</v>
      </c>
      <c r="AC44" s="1" t="s">
        <v>426</v>
      </c>
    </row>
    <row r="45" spans="1:29">
      <c r="A45" s="1">
        <v>20220614</v>
      </c>
      <c r="B45" s="1">
        <v>20220614</v>
      </c>
      <c r="C45" s="1">
        <v>0</v>
      </c>
      <c r="D45" s="2">
        <v>0</v>
      </c>
      <c r="E45" s="1" t="s">
        <v>92</v>
      </c>
      <c r="H45" s="1">
        <v>0</v>
      </c>
      <c r="I45" s="1">
        <v>0</v>
      </c>
      <c r="J45" s="1">
        <v>0.05</v>
      </c>
      <c r="K45" s="1">
        <v>-0.05</v>
      </c>
      <c r="L45" s="1">
        <v>0</v>
      </c>
      <c r="M45" s="1">
        <v>0</v>
      </c>
      <c r="N45" s="1">
        <v>15.6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 t="s">
        <v>425</v>
      </c>
      <c r="AC45" s="1" t="s">
        <v>426</v>
      </c>
    </row>
    <row r="46" spans="1:29">
      <c r="A46" s="1">
        <v>20220615</v>
      </c>
      <c r="B46" s="1">
        <v>20220615</v>
      </c>
      <c r="C46" s="1">
        <v>0</v>
      </c>
      <c r="D46" s="2">
        <v>0</v>
      </c>
      <c r="E46" s="1" t="s">
        <v>92</v>
      </c>
      <c r="H46" s="1">
        <v>0</v>
      </c>
      <c r="I46" s="1">
        <v>0</v>
      </c>
      <c r="J46" s="1">
        <v>0.05</v>
      </c>
      <c r="K46" s="1">
        <v>-0.05</v>
      </c>
      <c r="L46" s="1">
        <v>0</v>
      </c>
      <c r="M46" s="1">
        <v>0</v>
      </c>
      <c r="N46" s="1">
        <v>15.55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 t="s">
        <v>425</v>
      </c>
      <c r="AC46" s="1" t="s">
        <v>426</v>
      </c>
    </row>
    <row r="47" spans="1:29">
      <c r="A47" s="1">
        <v>20220616</v>
      </c>
      <c r="B47" s="1">
        <v>20220616</v>
      </c>
      <c r="C47" s="1">
        <v>0</v>
      </c>
      <c r="D47" s="2">
        <v>0</v>
      </c>
      <c r="E47" s="1" t="s">
        <v>92</v>
      </c>
      <c r="H47" s="1">
        <v>0</v>
      </c>
      <c r="I47" s="1">
        <v>0</v>
      </c>
      <c r="J47" s="1">
        <v>0.05</v>
      </c>
      <c r="K47" s="1">
        <v>-0.05</v>
      </c>
      <c r="L47" s="1">
        <v>0</v>
      </c>
      <c r="M47" s="1">
        <v>0</v>
      </c>
      <c r="N47" s="1">
        <v>15.5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 t="s">
        <v>425</v>
      </c>
      <c r="AC47" s="1" t="s">
        <v>426</v>
      </c>
    </row>
    <row r="48" spans="1:29">
      <c r="A48" s="1">
        <v>20220617</v>
      </c>
      <c r="B48" s="1">
        <v>20220617</v>
      </c>
      <c r="C48" s="1">
        <v>0</v>
      </c>
      <c r="D48" s="2">
        <v>0</v>
      </c>
      <c r="E48" s="1" t="s">
        <v>92</v>
      </c>
      <c r="H48" s="1">
        <v>0</v>
      </c>
      <c r="I48" s="1">
        <v>0</v>
      </c>
      <c r="J48" s="1">
        <v>0.04</v>
      </c>
      <c r="K48" s="1">
        <v>-0.04</v>
      </c>
      <c r="L48" s="1">
        <v>0</v>
      </c>
      <c r="M48" s="1">
        <v>0</v>
      </c>
      <c r="N48" s="1">
        <v>4.96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 t="s">
        <v>425</v>
      </c>
      <c r="AC48" s="1" t="s">
        <v>426</v>
      </c>
    </row>
    <row r="49" spans="1:29">
      <c r="A49" s="1">
        <v>20220620</v>
      </c>
      <c r="B49" s="1">
        <v>20220620</v>
      </c>
      <c r="C49" s="1">
        <v>0</v>
      </c>
      <c r="D49" s="2">
        <v>0</v>
      </c>
      <c r="E49" s="1" t="s">
        <v>92</v>
      </c>
      <c r="H49" s="1">
        <v>0</v>
      </c>
      <c r="I49" s="1">
        <v>0</v>
      </c>
      <c r="J49" s="1">
        <v>0.13</v>
      </c>
      <c r="K49" s="1">
        <v>-0.13</v>
      </c>
      <c r="L49" s="1">
        <v>0</v>
      </c>
      <c r="M49" s="1">
        <v>0</v>
      </c>
      <c r="N49" s="1">
        <v>4.88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 t="s">
        <v>425</v>
      </c>
      <c r="AC49" s="1" t="s">
        <v>426</v>
      </c>
    </row>
    <row r="50" spans="1:29">
      <c r="A50" s="1">
        <v>20220621</v>
      </c>
      <c r="B50" s="1">
        <v>20220617</v>
      </c>
      <c r="C50" s="1">
        <v>20220617</v>
      </c>
      <c r="D50" s="2">
        <v>0.412743055555556</v>
      </c>
      <c r="E50" s="1" t="s">
        <v>194</v>
      </c>
      <c r="F50" s="1">
        <v>1099</v>
      </c>
      <c r="G50" s="1" t="s">
        <v>195</v>
      </c>
      <c r="H50" s="1">
        <v>15.59</v>
      </c>
      <c r="I50" s="1">
        <v>2000</v>
      </c>
      <c r="J50" s="1">
        <v>31178.43</v>
      </c>
      <c r="K50" s="1">
        <v>31117.19</v>
      </c>
      <c r="L50" s="1">
        <v>2000</v>
      </c>
      <c r="M50" s="1">
        <v>18.22</v>
      </c>
      <c r="N50" s="1">
        <v>5</v>
      </c>
      <c r="O50" s="1">
        <v>0</v>
      </c>
      <c r="P50" s="1">
        <v>41.06</v>
      </c>
      <c r="Q50" s="1">
        <v>15.59</v>
      </c>
      <c r="R50" s="1">
        <v>1.71</v>
      </c>
      <c r="S50" s="1">
        <v>1.55</v>
      </c>
      <c r="T50" s="1">
        <v>0</v>
      </c>
      <c r="U50" s="1">
        <v>0.42</v>
      </c>
      <c r="V50" s="1">
        <v>0.83</v>
      </c>
      <c r="W50" s="1">
        <v>0.04</v>
      </c>
      <c r="X50" s="1">
        <v>0.04</v>
      </c>
      <c r="Y50" s="1">
        <v>0.85561</v>
      </c>
      <c r="Z50" s="1">
        <v>1099000000276</v>
      </c>
      <c r="AA50" s="1">
        <v>95512</v>
      </c>
      <c r="AB50" s="1" t="s">
        <v>425</v>
      </c>
      <c r="AC50" s="1" t="s">
        <v>426</v>
      </c>
    </row>
    <row r="51" spans="1:29">
      <c r="A51" s="1">
        <v>20220621</v>
      </c>
      <c r="B51" s="1">
        <v>20220621</v>
      </c>
      <c r="C51" s="1">
        <v>0</v>
      </c>
      <c r="D51" s="2">
        <v>0</v>
      </c>
      <c r="E51" s="1" t="s">
        <v>92</v>
      </c>
      <c r="H51" s="1">
        <v>0</v>
      </c>
      <c r="I51" s="1">
        <v>0</v>
      </c>
      <c r="J51" s="1">
        <v>0.04</v>
      </c>
      <c r="K51" s="1">
        <v>-0.04</v>
      </c>
      <c r="L51" s="1">
        <v>0</v>
      </c>
      <c r="M51" s="1">
        <v>0</v>
      </c>
      <c r="N51" s="1">
        <v>4.96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 t="s">
        <v>425</v>
      </c>
      <c r="AC51" s="1" t="s">
        <v>426</v>
      </c>
    </row>
    <row r="52" spans="1:29">
      <c r="A52" s="1">
        <v>20220622</v>
      </c>
      <c r="B52" s="1">
        <v>20220622</v>
      </c>
      <c r="C52" s="1">
        <v>0</v>
      </c>
      <c r="D52" s="2">
        <v>0</v>
      </c>
      <c r="E52" s="1" t="s">
        <v>92</v>
      </c>
      <c r="H52" s="1">
        <v>0</v>
      </c>
      <c r="I52" s="1">
        <v>0</v>
      </c>
      <c r="J52" s="1">
        <v>0.04</v>
      </c>
      <c r="K52" s="1">
        <v>-0.04</v>
      </c>
      <c r="L52" s="1">
        <v>0</v>
      </c>
      <c r="M52" s="1">
        <v>0</v>
      </c>
      <c r="N52" s="1">
        <v>21.5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 t="s">
        <v>425</v>
      </c>
      <c r="AC52" s="1" t="s">
        <v>426</v>
      </c>
    </row>
    <row r="53" spans="1:29">
      <c r="A53" s="1">
        <v>20220623</v>
      </c>
      <c r="B53" s="1">
        <v>20220623</v>
      </c>
      <c r="C53" s="1">
        <v>0</v>
      </c>
      <c r="D53" s="2">
        <v>0</v>
      </c>
      <c r="E53" s="1" t="s">
        <v>92</v>
      </c>
      <c r="H53" s="1">
        <v>0</v>
      </c>
      <c r="I53" s="1">
        <v>0</v>
      </c>
      <c r="J53" s="1">
        <v>0.04</v>
      </c>
      <c r="K53" s="1">
        <v>-0.04</v>
      </c>
      <c r="L53" s="1">
        <v>0</v>
      </c>
      <c r="M53" s="1">
        <v>0</v>
      </c>
      <c r="N53" s="1">
        <v>21.46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 t="s">
        <v>425</v>
      </c>
      <c r="AC53" s="1" t="s">
        <v>426</v>
      </c>
    </row>
    <row r="54" spans="1:29">
      <c r="A54" s="1">
        <v>20220624</v>
      </c>
      <c r="B54" s="1">
        <v>20220624</v>
      </c>
      <c r="C54" s="1">
        <v>20220624</v>
      </c>
      <c r="D54" s="2">
        <v>0</v>
      </c>
      <c r="E54" s="1" t="s">
        <v>199</v>
      </c>
      <c r="F54" s="1">
        <v>386</v>
      </c>
      <c r="G54" s="1" t="s">
        <v>200</v>
      </c>
      <c r="H54" s="1">
        <v>0.25</v>
      </c>
      <c r="I54" s="1">
        <v>54000</v>
      </c>
      <c r="J54" s="1">
        <v>13392</v>
      </c>
      <c r="K54" s="1">
        <v>13392</v>
      </c>
      <c r="L54" s="1">
        <v>0</v>
      </c>
      <c r="M54" s="1">
        <v>0</v>
      </c>
      <c r="N54" s="1">
        <v>13397</v>
      </c>
      <c r="O54" s="1">
        <v>54000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AA54" s="1">
        <v>0</v>
      </c>
      <c r="AB54" s="1" t="s">
        <v>425</v>
      </c>
      <c r="AC54" s="1" t="s">
        <v>426</v>
      </c>
    </row>
    <row r="55" spans="1:29">
      <c r="A55" s="1">
        <v>20220624</v>
      </c>
      <c r="B55" s="1">
        <v>20220624</v>
      </c>
      <c r="C55" s="1">
        <v>0</v>
      </c>
      <c r="D55" s="2">
        <v>0</v>
      </c>
      <c r="E55" s="1" t="s">
        <v>92</v>
      </c>
      <c r="H55" s="1">
        <v>0</v>
      </c>
      <c r="I55" s="1">
        <v>0</v>
      </c>
      <c r="J55" s="1">
        <v>0.04</v>
      </c>
      <c r="K55" s="1">
        <v>-0.04</v>
      </c>
      <c r="L55" s="1">
        <v>0</v>
      </c>
      <c r="M55" s="1">
        <v>0</v>
      </c>
      <c r="N55" s="1">
        <v>13396.96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 t="s">
        <v>425</v>
      </c>
      <c r="AC55" s="1" t="s">
        <v>426</v>
      </c>
    </row>
    <row r="56" spans="1:29">
      <c r="A56" s="1">
        <v>20220627</v>
      </c>
      <c r="B56" s="1">
        <v>20220627</v>
      </c>
      <c r="C56" s="1">
        <v>0</v>
      </c>
      <c r="D56" s="2">
        <v>0</v>
      </c>
      <c r="E56" s="1" t="s">
        <v>92</v>
      </c>
      <c r="H56" s="1">
        <v>0</v>
      </c>
      <c r="I56" s="1">
        <v>0</v>
      </c>
      <c r="J56" s="1">
        <v>0.13</v>
      </c>
      <c r="K56" s="1">
        <v>-0.13</v>
      </c>
      <c r="L56" s="1">
        <v>0</v>
      </c>
      <c r="M56" s="1">
        <v>0</v>
      </c>
      <c r="N56" s="1">
        <v>4.87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 t="s">
        <v>425</v>
      </c>
      <c r="AC56" s="1" t="s">
        <v>426</v>
      </c>
    </row>
    <row r="57" spans="1:29">
      <c r="A57" s="1">
        <v>20220628</v>
      </c>
      <c r="B57" s="1">
        <v>20220628</v>
      </c>
      <c r="C57" s="1">
        <v>0</v>
      </c>
      <c r="D57" s="2">
        <v>0</v>
      </c>
      <c r="E57" s="1" t="s">
        <v>92</v>
      </c>
      <c r="H57" s="1">
        <v>0</v>
      </c>
      <c r="I57" s="1">
        <v>0</v>
      </c>
      <c r="J57" s="1">
        <v>0.04</v>
      </c>
      <c r="K57" s="1">
        <v>-0.04</v>
      </c>
      <c r="L57" s="1">
        <v>0</v>
      </c>
      <c r="M57" s="1">
        <v>0</v>
      </c>
      <c r="N57" s="1">
        <v>4.96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 t="s">
        <v>425</v>
      </c>
      <c r="AC57" s="1" t="s">
        <v>426</v>
      </c>
    </row>
    <row r="58" spans="1:29">
      <c r="A58" s="1">
        <v>20220629</v>
      </c>
      <c r="B58" s="1">
        <v>20220629</v>
      </c>
      <c r="C58" s="1">
        <v>0</v>
      </c>
      <c r="D58" s="2">
        <v>0</v>
      </c>
      <c r="E58" s="1" t="s">
        <v>92</v>
      </c>
      <c r="H58" s="1">
        <v>0</v>
      </c>
      <c r="I58" s="1">
        <v>0</v>
      </c>
      <c r="J58" s="1">
        <v>0.04</v>
      </c>
      <c r="K58" s="1">
        <v>-0.04</v>
      </c>
      <c r="L58" s="1">
        <v>0</v>
      </c>
      <c r="M58" s="1">
        <v>0</v>
      </c>
      <c r="N58" s="1">
        <v>4.96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 t="s">
        <v>425</v>
      </c>
      <c r="AC58" s="1" t="s">
        <v>426</v>
      </c>
    </row>
    <row r="59" spans="1:29">
      <c r="A59" s="1">
        <v>20220630</v>
      </c>
      <c r="B59" s="1">
        <v>20220630</v>
      </c>
      <c r="C59" s="1">
        <v>0</v>
      </c>
      <c r="D59" s="2">
        <v>0</v>
      </c>
      <c r="E59" s="1" t="s">
        <v>92</v>
      </c>
      <c r="H59" s="1">
        <v>0</v>
      </c>
      <c r="I59" s="1">
        <v>0</v>
      </c>
      <c r="J59" s="1">
        <v>0.04</v>
      </c>
      <c r="K59" s="1">
        <v>-0.04</v>
      </c>
      <c r="L59" s="1">
        <v>0</v>
      </c>
      <c r="M59" s="1">
        <v>0</v>
      </c>
      <c r="N59" s="1">
        <v>4.96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 t="s">
        <v>425</v>
      </c>
      <c r="AC59" s="1" t="s">
        <v>426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57</vt:i4>
      </vt:variant>
    </vt:vector>
  </HeadingPairs>
  <TitlesOfParts>
    <vt:vector size="57" baseType="lpstr">
      <vt:lpstr>52893结算表</vt:lpstr>
      <vt:lpstr>汇总</vt:lpstr>
      <vt:lpstr>Sheet1</vt:lpstr>
      <vt:lpstr>20110701-20110930 对账单查询</vt:lpstr>
      <vt:lpstr>20111001-20111231 对账单查询</vt:lpstr>
      <vt:lpstr>20120101-20120331对账单查询</vt:lpstr>
      <vt:lpstr>20120401-20120630 对账单查询</vt:lpstr>
      <vt:lpstr>20120701-20120930 对账单查询</vt:lpstr>
      <vt:lpstr>20121001-20121231 对账单查询</vt:lpstr>
      <vt:lpstr>20130101-20130331 对账单查询</vt:lpstr>
      <vt:lpstr>20130401-20130630 对账单查询</vt:lpstr>
      <vt:lpstr>20130701-20130930 对账单查询</vt:lpstr>
      <vt:lpstr>20131001-20131231 对账单查询</vt:lpstr>
      <vt:lpstr>20140101-20140331 对账单查询</vt:lpstr>
      <vt:lpstr>20140401-20140630 对账单查询</vt:lpstr>
      <vt:lpstr>20140701-20140930 对账单查询</vt:lpstr>
      <vt:lpstr>20141001-20141231 对账单查询</vt:lpstr>
      <vt:lpstr>20150101-20150331 对账单查询</vt:lpstr>
      <vt:lpstr>20150401-20150630对账单查询</vt:lpstr>
      <vt:lpstr>20150701-20150930 对账单查询</vt:lpstr>
      <vt:lpstr>20151001-20151231 对账单查询</vt:lpstr>
      <vt:lpstr>20160101-20160331对账单查询</vt:lpstr>
      <vt:lpstr>20160401-20160630 对账单查询</vt:lpstr>
      <vt:lpstr>20160701-20160930 对账单查询</vt:lpstr>
      <vt:lpstr>20161001-20161231对账单查询</vt:lpstr>
      <vt:lpstr>20170101-20170331对账单查询</vt:lpstr>
      <vt:lpstr>20170401-20170630对账单查询</vt:lpstr>
      <vt:lpstr>20170701-20170930 对账单查询</vt:lpstr>
      <vt:lpstr>20171001-20171231对账单查询</vt:lpstr>
      <vt:lpstr>20180101-20180331对账单查询</vt:lpstr>
      <vt:lpstr>20180401-20180630对账单查询</vt:lpstr>
      <vt:lpstr>20180701-20180930对账单查询</vt:lpstr>
      <vt:lpstr>20181001-20181231对账单查询</vt:lpstr>
      <vt:lpstr>20190101-20190331对账单查询</vt:lpstr>
      <vt:lpstr>20190401-20190630对账单查询</vt:lpstr>
      <vt:lpstr>20190701-20190930对账单查询</vt:lpstr>
      <vt:lpstr>20191001-20191231对账单查询</vt:lpstr>
      <vt:lpstr>20200101-20200331对账单查询</vt:lpstr>
      <vt:lpstr>20200101-20200331沪港通交割单查询</vt:lpstr>
      <vt:lpstr>20200401-20200630对账单查询</vt:lpstr>
      <vt:lpstr>20200401-20200630沪港通交割单查询</vt:lpstr>
      <vt:lpstr>20200701-20200930 对账单查询</vt:lpstr>
      <vt:lpstr>20200701-20200930 沪港通交割单查询</vt:lpstr>
      <vt:lpstr>20201001-20201231对账单查询</vt:lpstr>
      <vt:lpstr>20201001-20201231沪港通 交割单查询</vt:lpstr>
      <vt:lpstr>20210101-20210331对账单查询</vt:lpstr>
      <vt:lpstr>20210101-20210331沪港通交割单查询</vt:lpstr>
      <vt:lpstr>20210301-20210630对账单查询</vt:lpstr>
      <vt:lpstr>20210301-20210630沪港通交割单查询</vt:lpstr>
      <vt:lpstr>20210701-20210930 对账单查询</vt:lpstr>
      <vt:lpstr>20210707-20210930港股通交割单查询</vt:lpstr>
      <vt:lpstr>20211001-20211231对账单查询</vt:lpstr>
      <vt:lpstr>20211001-20211231港股通交割单查询</vt:lpstr>
      <vt:lpstr>20220101-20220331 对账单查询</vt:lpstr>
      <vt:lpstr>20220101-20220330 港股通交割单查询</vt:lpstr>
      <vt:lpstr>20220401-20220630 对账单查询</vt:lpstr>
      <vt:lpstr>20220401-20220630 港股通交割单查询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2013-04-09T09:35:00Z</dcterms:created>
  <dcterms:modified xsi:type="dcterms:W3CDTF">2022-07-06T09:40:52Z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7EA35F3435B04BBBBA9348D25D6CA2A2</vt:lpwstr>
  </property>
</Properties>
</file>