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rosslateralcomau-my.sharepoint.com/personal/david_crosslateral_com_au/Documents/Projects/Suncorp/Spatial/"/>
    </mc:Choice>
  </mc:AlternateContent>
  <xr:revisionPtr revIDLastSave="529" documentId="13_ncr:1_{6ECD90F5-D9C6-45C2-A1A8-8ED5D7E36864}" xr6:coauthVersionLast="47" xr6:coauthVersionMax="47" xr10:uidLastSave="{68478FC7-78F5-C84E-B1A8-A5511845FB14}"/>
  <bookViews>
    <workbookView xWindow="19040" yWindow="-28300" windowWidth="29720" windowHeight="28300" xr2:uid="{C5E30042-FCE8-4C76-9185-D7A3249E1BA2}"/>
  </bookViews>
  <sheets>
    <sheet name="GDA94 to GDA2020 Transform" sheetId="1" r:id="rId1"/>
    <sheet name="Haversine Formu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9" i="1"/>
  <c r="B10" i="1"/>
  <c r="B30" i="1"/>
  <c r="B35" i="1" s="1"/>
  <c r="B31" i="1"/>
  <c r="B36" i="1" s="1"/>
  <c r="B28" i="1"/>
  <c r="B37" i="1" s="1"/>
  <c r="B25" i="1"/>
  <c r="B29" i="1"/>
  <c r="B34" i="1" s="1"/>
  <c r="B26" i="1"/>
  <c r="B27" i="1"/>
  <c r="B6" i="2"/>
  <c r="C6" i="2" s="1"/>
  <c r="B8" i="2"/>
  <c r="C8" i="2" s="1"/>
  <c r="B2" i="2"/>
  <c r="B17" i="1" l="1"/>
  <c r="B41" i="1"/>
  <c r="D42" i="1"/>
  <c r="D41" i="1"/>
  <c r="D43" i="1"/>
  <c r="C42" i="1"/>
  <c r="B42" i="1"/>
  <c r="C43" i="1"/>
  <c r="B43" i="1"/>
  <c r="C41" i="1"/>
  <c r="B21" i="1" l="1"/>
  <c r="B20" i="1"/>
  <c r="B22" i="1"/>
  <c r="B46" i="1" l="1"/>
  <c r="B50" i="1" s="1"/>
  <c r="B54" i="1" s="1"/>
  <c r="B47" i="1"/>
  <c r="B51" i="1" s="1"/>
  <c r="B55" i="1" s="1"/>
  <c r="B45" i="1"/>
  <c r="B49" i="1" s="1"/>
  <c r="B53" i="1" s="1"/>
  <c r="B58" i="1" s="1"/>
  <c r="B59" i="1" l="1"/>
  <c r="B60" i="1" s="1"/>
  <c r="B62" i="1" s="1"/>
  <c r="B63" i="1"/>
  <c r="B65" i="1" s="1"/>
  <c r="B69" i="1" s="1"/>
  <c r="F5" i="1" s="1"/>
  <c r="B9" i="2" s="1"/>
  <c r="C9" i="2" s="1"/>
  <c r="B12" i="2" s="1"/>
  <c r="B61" i="1"/>
  <c r="B64" i="1" l="1"/>
  <c r="B70" i="1" s="1"/>
  <c r="F6" i="1" s="1"/>
  <c r="B68" i="1" l="1"/>
  <c r="F4" i="1" s="1"/>
  <c r="B7" i="2" s="1"/>
  <c r="C7" i="2" s="1"/>
  <c r="B13" i="2" s="1"/>
  <c r="B14" i="2" s="1"/>
  <c r="B15" i="2" s="1"/>
  <c r="B16" i="2" s="1"/>
  <c r="H5" i="1" s="1"/>
</calcChain>
</file>

<file path=xl/sharedStrings.xml><?xml version="1.0" encoding="utf-8"?>
<sst xmlns="http://schemas.openxmlformats.org/spreadsheetml/2006/main" count="110" uniqueCount="92">
  <si>
    <t>Transform GDA94 to GDA2020</t>
  </si>
  <si>
    <t>Decimal degrees</t>
  </si>
  <si>
    <t>Radians</t>
  </si>
  <si>
    <t>f</t>
  </si>
  <si>
    <t>n</t>
  </si>
  <si>
    <t>Ellipsoidal height:</t>
  </si>
  <si>
    <t>Longitude:</t>
  </si>
  <si>
    <t>Latitude:</t>
  </si>
  <si>
    <t>X</t>
  </si>
  <si>
    <t>Y</t>
  </si>
  <si>
    <t>Z</t>
  </si>
  <si>
    <t>(metres)</t>
  </si>
  <si>
    <t>Sc</t>
  </si>
  <si>
    <t>(ppm)</t>
  </si>
  <si>
    <t>(seconds)</t>
  </si>
  <si>
    <t>Latitude radian:</t>
  </si>
  <si>
    <t>Longitude radian:</t>
  </si>
  <si>
    <t>Rx</t>
  </si>
  <si>
    <t>(radians)</t>
  </si>
  <si>
    <t>Ry</t>
  </si>
  <si>
    <t>Rz</t>
  </si>
  <si>
    <t>Scale factor</t>
  </si>
  <si>
    <t>Step 6:  Convert transformation variables to radians</t>
  </si>
  <si>
    <t>Xs</t>
  </si>
  <si>
    <t>Ys</t>
  </si>
  <si>
    <t>Zs</t>
  </si>
  <si>
    <t>Step 7: Transformation from GDA94 to GDA2020</t>
  </si>
  <si>
    <r>
      <t>e</t>
    </r>
    <r>
      <rPr>
        <vertAlign val="superscript"/>
        <sz val="11"/>
        <rFont val="Calibri"/>
        <family val="2"/>
        <scheme val="minor"/>
      </rPr>
      <t>2</t>
    </r>
  </si>
  <si>
    <r>
      <t>T</t>
    </r>
    <r>
      <rPr>
        <vertAlign val="subscript"/>
        <sz val="11"/>
        <rFont val="Calibri"/>
        <family val="2"/>
        <scheme val="minor"/>
      </rPr>
      <t>X</t>
    </r>
  </si>
  <si>
    <r>
      <t>T</t>
    </r>
    <r>
      <rPr>
        <vertAlign val="subscript"/>
        <sz val="11"/>
        <rFont val="Calibri"/>
        <family val="2"/>
        <scheme val="minor"/>
      </rPr>
      <t>Y</t>
    </r>
  </si>
  <si>
    <r>
      <t>T</t>
    </r>
    <r>
      <rPr>
        <vertAlign val="subscript"/>
        <sz val="11"/>
        <rFont val="Calibri"/>
        <family val="2"/>
        <scheme val="minor"/>
      </rPr>
      <t>Z</t>
    </r>
  </si>
  <si>
    <r>
      <t>R</t>
    </r>
    <r>
      <rPr>
        <vertAlign val="subscript"/>
        <sz val="11"/>
        <rFont val="Calibri"/>
        <family val="2"/>
        <scheme val="minor"/>
      </rPr>
      <t>X</t>
    </r>
  </si>
  <si>
    <r>
      <t>R</t>
    </r>
    <r>
      <rPr>
        <vertAlign val="subscript"/>
        <sz val="11"/>
        <rFont val="Calibri"/>
        <family val="2"/>
        <scheme val="minor"/>
      </rPr>
      <t>Y</t>
    </r>
  </si>
  <si>
    <r>
      <t>R</t>
    </r>
    <r>
      <rPr>
        <vertAlign val="subscript"/>
        <sz val="11"/>
        <rFont val="Calibri"/>
        <family val="2"/>
        <scheme val="minor"/>
      </rPr>
      <t>Z</t>
    </r>
  </si>
  <si>
    <t>p</t>
  </si>
  <si>
    <t>r</t>
  </si>
  <si>
    <t>m</t>
  </si>
  <si>
    <t>longitude</t>
  </si>
  <si>
    <t>latitude</t>
  </si>
  <si>
    <t>ellip height</t>
  </si>
  <si>
    <t>latitude bottom line</t>
  </si>
  <si>
    <t>longitude fix</t>
  </si>
  <si>
    <t>GDA2020 result</t>
  </si>
  <si>
    <t>Constants</t>
  </si>
  <si>
    <t>Radians formula</t>
  </si>
  <si>
    <t>(pi/180)</t>
  </si>
  <si>
    <t>This is the formula for a Radian</t>
  </si>
  <si>
    <t>Earth radius km</t>
  </si>
  <si>
    <t>We assume Earth is a sphere - good enough for this calculation</t>
  </si>
  <si>
    <t>Variables</t>
  </si>
  <si>
    <t>Latitude A</t>
  </si>
  <si>
    <t>Convert latitude A to a radian: latitude/(pi/180)</t>
  </si>
  <si>
    <t>Latitude B</t>
  </si>
  <si>
    <t>Convert latitude B to a radian: latitude/(pi/180)</t>
  </si>
  <si>
    <t>Longitude A</t>
  </si>
  <si>
    <t>Convert longitude A to a radian: latitude/(pi/180)</t>
  </si>
  <si>
    <t>Longitude B</t>
  </si>
  <si>
    <t>Convert longitude B to a radian: latitude/(pi/180)</t>
  </si>
  <si>
    <t>Haversine formula</t>
  </si>
  <si>
    <t>Longitude delta</t>
  </si>
  <si>
    <t>Latitude B - Latitude A</t>
  </si>
  <si>
    <t>Latitude delta</t>
  </si>
  <si>
    <t>Longitude B - Longitude A</t>
  </si>
  <si>
    <t>a</t>
  </si>
  <si>
    <t>POWER(SIN(B13/2),2)+COS(C6)*COS(C7)*POWER(SIN(B12/2),2)</t>
  </si>
  <si>
    <t>b</t>
  </si>
  <si>
    <t>2*ASIN(SQRT(B14))</t>
  </si>
  <si>
    <t>Distance KM</t>
  </si>
  <si>
    <t>b * Earth radius gives us the distance between point A and point B</t>
  </si>
  <si>
    <t>For information only</t>
  </si>
  <si>
    <t>Part A</t>
  </si>
  <si>
    <t>Part B</t>
  </si>
  <si>
    <t>Part C</t>
  </si>
  <si>
    <t>Part D</t>
  </si>
  <si>
    <t>Ellipsoid semi-major axis</t>
  </si>
  <si>
    <t>Inverse flattening</t>
  </si>
  <si>
    <t xml:space="preserve"> 1/f</t>
  </si>
  <si>
    <t>Flattening of the reference ellipsoid.</t>
  </si>
  <si>
    <t>Distance in metres GDA94 to GDA2020</t>
  </si>
  <si>
    <t>Eccentricity squared</t>
  </si>
  <si>
    <t>height</t>
  </si>
  <si>
    <t>long</t>
  </si>
  <si>
    <t>lat</t>
  </si>
  <si>
    <t>Step 8: Convert Cartesian coordinates to Geodetic coordinates</t>
  </si>
  <si>
    <t>Step 9: Return GDA2020 latitude and longitude in decimal degrees</t>
  </si>
  <si>
    <t>Step 2: Convert GDA94 Latitude &amp; Longitude to Radians</t>
  </si>
  <si>
    <t>Step 3: Set ellipsoid variables</t>
  </si>
  <si>
    <t>Step 4: Convert Geodetic coordinates to Cartesian coordinates</t>
  </si>
  <si>
    <t>Step 5: Set the 7 transformation variables</t>
  </si>
  <si>
    <t>latitude top line</t>
  </si>
  <si>
    <t>Step 1: Input GDA94 Latitude &amp; Longitude in decimal degrees</t>
  </si>
  <si>
    <t>(optional - set to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</si>
</sst>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000"/>
    <numFmt numFmtId="165" formatCode="0.00000000"/>
    <numFmt numFmtId="166" formatCode="0.000"/>
    <numFmt numFmtId="167" formatCode="0.00000"/>
    <numFmt numFmtId="168" formatCode="0.000000"/>
    <numFmt numFmtId="169" formatCode="0.0000000"/>
    <numFmt numFmtId="170" formatCode="0.0000000000"/>
    <numFmt numFmtId="171" formatCode="0.0000"/>
    <numFmt numFmtId="175" formatCode="0.000000000000"/>
    <numFmt numFmtId="178" formatCode="0.000000000000000"/>
    <numFmt numFmtId="179" formatCode="0.00000000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ymbol"/>
      <family val="1"/>
      <charset val="2"/>
    </font>
    <font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5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right"/>
    </xf>
    <xf numFmtId="170" fontId="5" fillId="0" borderId="0" xfId="0" applyNumberFormat="1" applyFont="1" applyBorder="1"/>
    <xf numFmtId="0" fontId="0" fillId="0" borderId="0" xfId="0" applyBorder="1"/>
    <xf numFmtId="0" fontId="0" fillId="0" borderId="0" xfId="0" applyFont="1" applyBorder="1"/>
    <xf numFmtId="166" fontId="5" fillId="0" borderId="0" xfId="0" applyNumberFormat="1" applyFont="1" applyBorder="1"/>
    <xf numFmtId="167" fontId="5" fillId="0" borderId="0" xfId="0" applyNumberFormat="1" applyFont="1" applyFill="1" applyAlignment="1">
      <alignment horizontal="right"/>
    </xf>
    <xf numFmtId="168" fontId="5" fillId="0" borderId="0" xfId="0" applyNumberFormat="1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170" fontId="5" fillId="0" borderId="0" xfId="0" applyNumberFormat="1" applyFont="1" applyBorder="1" applyAlignment="1">
      <alignment horizontal="right"/>
    </xf>
    <xf numFmtId="0" fontId="9" fillId="0" borderId="0" xfId="1"/>
    <xf numFmtId="0" fontId="10" fillId="0" borderId="0" xfId="1" applyFont="1"/>
    <xf numFmtId="0" fontId="2" fillId="0" borderId="0" xfId="1" applyFont="1"/>
    <xf numFmtId="0" fontId="1" fillId="0" borderId="0" xfId="1" applyFont="1"/>
    <xf numFmtId="0" fontId="11" fillId="0" borderId="0" xfId="1" applyFont="1"/>
    <xf numFmtId="168" fontId="1" fillId="0" borderId="0" xfId="1" applyNumberFormat="1" applyFont="1"/>
    <xf numFmtId="0" fontId="1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0" fillId="2" borderId="0" xfId="0" applyFill="1" applyBorder="1"/>
    <xf numFmtId="0" fontId="5" fillId="2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4" borderId="0" xfId="0" applyFont="1" applyFill="1" applyBorder="1"/>
    <xf numFmtId="0" fontId="0" fillId="3" borderId="0" xfId="0" applyFill="1" applyBorder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165" fontId="5" fillId="4" borderId="0" xfId="0" applyNumberFormat="1" applyFont="1" applyFill="1" applyBorder="1"/>
    <xf numFmtId="0" fontId="7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166" fontId="0" fillId="0" borderId="0" xfId="0" applyNumberFormat="1"/>
    <xf numFmtId="168" fontId="0" fillId="0" borderId="0" xfId="0" applyNumberFormat="1" applyFont="1"/>
    <xf numFmtId="171" fontId="0" fillId="5" borderId="0" xfId="0" applyNumberFormat="1" applyFont="1" applyFill="1"/>
    <xf numFmtId="168" fontId="5" fillId="0" borderId="0" xfId="0" applyNumberFormat="1" applyFont="1"/>
    <xf numFmtId="169" fontId="5" fillId="0" borderId="0" xfId="0" applyNumberFormat="1" applyFont="1"/>
    <xf numFmtId="165" fontId="5" fillId="0" borderId="0" xfId="0" applyNumberFormat="1" applyFont="1"/>
    <xf numFmtId="170" fontId="0" fillId="0" borderId="0" xfId="0" applyNumberFormat="1" applyFont="1"/>
    <xf numFmtId="175" fontId="0" fillId="0" borderId="0" xfId="0" applyNumberFormat="1" applyFont="1"/>
    <xf numFmtId="1" fontId="0" fillId="0" borderId="0" xfId="0" applyNumberFormat="1" applyFont="1"/>
    <xf numFmtId="170" fontId="0" fillId="5" borderId="0" xfId="0" applyNumberFormat="1" applyFont="1" applyFill="1" applyBorder="1"/>
    <xf numFmtId="165" fontId="0" fillId="5" borderId="0" xfId="0" applyNumberFormat="1" applyFont="1" applyFill="1" applyBorder="1"/>
    <xf numFmtId="175" fontId="5" fillId="4" borderId="0" xfId="0" applyNumberFormat="1" applyFont="1" applyFill="1"/>
    <xf numFmtId="165" fontId="5" fillId="4" borderId="0" xfId="0" applyNumberFormat="1" applyFont="1" applyFill="1"/>
    <xf numFmtId="179" fontId="5" fillId="0" borderId="0" xfId="0" applyNumberFormat="1" applyFont="1" applyAlignment="1">
      <alignment horizontal="right"/>
    </xf>
    <xf numFmtId="178" fontId="5" fillId="0" borderId="0" xfId="0" applyNumberFormat="1" applyFont="1" applyBorder="1"/>
    <xf numFmtId="170" fontId="0" fillId="0" borderId="0" xfId="0" applyNumberFormat="1" applyBorder="1"/>
    <xf numFmtId="169" fontId="5" fillId="0" borderId="0" xfId="0" applyNumberFormat="1" applyFont="1" applyBorder="1"/>
    <xf numFmtId="165" fontId="5" fillId="0" borderId="0" xfId="0" applyNumberFormat="1" applyFont="1" applyBorder="1"/>
    <xf numFmtId="165" fontId="0" fillId="0" borderId="0" xfId="0" applyNumberFormat="1"/>
    <xf numFmtId="165" fontId="0" fillId="0" borderId="0" xfId="0" applyNumberFormat="1" applyFont="1"/>
  </cellXfs>
  <cellStyles count="2">
    <cellStyle name="Normal" xfId="0" builtinId="0"/>
    <cellStyle name="Normal 2" xfId="1" xr:uid="{FF7CB237-337B-4539-BDB8-1EA6BC204C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BAE4-3A1A-45B0-BF8A-7E58ACB96F43}">
  <sheetPr codeName="Sheet1"/>
  <dimension ref="A1:H70"/>
  <sheetViews>
    <sheetView tabSelected="1" zoomScale="150" zoomScaleNormal="150" workbookViewId="0">
      <selection activeCell="C7" sqref="C7"/>
    </sheetView>
  </sheetViews>
  <sheetFormatPr baseColWidth="10" defaultColWidth="8.83203125" defaultRowHeight="15" x14ac:dyDescent="0.2"/>
  <cols>
    <col min="1" max="1" width="21.5" customWidth="1"/>
    <col min="2" max="2" width="18.1640625" customWidth="1"/>
    <col min="3" max="3" width="14.33203125" customWidth="1"/>
    <col min="4" max="4" width="15" customWidth="1"/>
    <col min="5" max="5" width="14.83203125" customWidth="1"/>
    <col min="6" max="6" width="18.33203125" bestFit="1" customWidth="1"/>
    <col min="7" max="7" width="3.1640625" customWidth="1"/>
    <col min="8" max="8" width="19.6640625" customWidth="1"/>
  </cols>
  <sheetData>
    <row r="1" spans="1:8" ht="19" x14ac:dyDescent="0.25">
      <c r="A1" s="19" t="s">
        <v>0</v>
      </c>
    </row>
    <row r="2" spans="1:8" x14ac:dyDescent="0.2">
      <c r="A2" s="1"/>
      <c r="E2" s="40" t="s">
        <v>69</v>
      </c>
      <c r="F2" s="40"/>
      <c r="G2" s="40"/>
      <c r="H2" s="40"/>
    </row>
    <row r="3" spans="1:8" x14ac:dyDescent="0.2">
      <c r="A3" s="1" t="s">
        <v>90</v>
      </c>
      <c r="B3" s="3"/>
      <c r="C3" s="3"/>
      <c r="D3" s="3"/>
      <c r="E3" s="39" t="s">
        <v>42</v>
      </c>
      <c r="F3" s="39"/>
      <c r="G3" s="29"/>
      <c r="H3" s="41" t="s">
        <v>78</v>
      </c>
    </row>
    <row r="4" spans="1:8" x14ac:dyDescent="0.2">
      <c r="A4" s="4" t="s">
        <v>7</v>
      </c>
      <c r="B4" s="51">
        <v>-23.670123894100001</v>
      </c>
      <c r="C4" s="3"/>
      <c r="D4" s="3"/>
      <c r="E4" s="30" t="s">
        <v>38</v>
      </c>
      <c r="F4" s="38">
        <f>B68</f>
        <v>-23.670110138548154</v>
      </c>
      <c r="G4" s="29"/>
      <c r="H4" s="41"/>
    </row>
    <row r="5" spans="1:8" x14ac:dyDescent="0.2">
      <c r="A5" s="4" t="s">
        <v>6</v>
      </c>
      <c r="B5" s="52">
        <v>133.88551329000001</v>
      </c>
      <c r="C5" s="3"/>
      <c r="D5" s="3"/>
      <c r="E5" s="30" t="s">
        <v>37</v>
      </c>
      <c r="F5" s="33">
        <f>B69</f>
        <v>133.88552160855633</v>
      </c>
      <c r="G5" s="29"/>
      <c r="H5" s="34">
        <f>'Haversine Formula'!B16*1000</f>
        <v>1.7484860448812745</v>
      </c>
    </row>
    <row r="6" spans="1:8" x14ac:dyDescent="0.2">
      <c r="A6" s="4" t="s">
        <v>5</v>
      </c>
      <c r="B6" s="44">
        <v>603.34659999999997</v>
      </c>
      <c r="C6" s="35" t="s">
        <v>91</v>
      </c>
      <c r="D6" s="3"/>
      <c r="E6" s="30" t="s">
        <v>80</v>
      </c>
      <c r="F6" s="33">
        <f>B70</f>
        <v>603.2488718861714</v>
      </c>
      <c r="G6" s="29"/>
      <c r="H6" s="29"/>
    </row>
    <row r="7" spans="1:8" x14ac:dyDescent="0.2">
      <c r="D7" s="3"/>
    </row>
    <row r="8" spans="1:8" x14ac:dyDescent="0.2">
      <c r="A8" s="1" t="s">
        <v>85</v>
      </c>
      <c r="B8" s="3"/>
      <c r="C8" s="36"/>
      <c r="D8" s="3"/>
    </row>
    <row r="9" spans="1:8" x14ac:dyDescent="0.2">
      <c r="A9" s="4" t="s">
        <v>15</v>
      </c>
      <c r="B9" s="48">
        <f>B4/180*PI()</f>
        <v>-0.41312159630702661</v>
      </c>
      <c r="C9" s="37"/>
      <c r="D9" s="3"/>
    </row>
    <row r="10" spans="1:8" x14ac:dyDescent="0.2">
      <c r="A10" s="4" t="s">
        <v>16</v>
      </c>
      <c r="B10" s="3">
        <f>B5/180*PI()</f>
        <v>2.3367430276331258</v>
      </c>
      <c r="C10" s="37"/>
      <c r="D10" s="3"/>
    </row>
    <row r="11" spans="1:8" x14ac:dyDescent="0.2">
      <c r="A11" s="4"/>
      <c r="B11" s="3"/>
      <c r="C11" s="37"/>
      <c r="D11" s="3"/>
    </row>
    <row r="12" spans="1:8" x14ac:dyDescent="0.2">
      <c r="A12" s="1" t="s">
        <v>86</v>
      </c>
      <c r="B12" s="3"/>
      <c r="C12" s="3"/>
      <c r="D12" s="3"/>
    </row>
    <row r="13" spans="1:8" x14ac:dyDescent="0.2">
      <c r="A13" s="4" t="s">
        <v>63</v>
      </c>
      <c r="B13" s="50">
        <v>6378137</v>
      </c>
      <c r="C13" s="35" t="s">
        <v>74</v>
      </c>
      <c r="D13" s="3"/>
    </row>
    <row r="14" spans="1:8" x14ac:dyDescent="0.2">
      <c r="A14" s="4" t="s">
        <v>76</v>
      </c>
      <c r="B14" s="5">
        <v>298.25722210100002</v>
      </c>
      <c r="C14" s="35" t="s">
        <v>75</v>
      </c>
      <c r="D14" s="3"/>
    </row>
    <row r="15" spans="1:8" x14ac:dyDescent="0.2">
      <c r="A15" s="4" t="s">
        <v>3</v>
      </c>
      <c r="B15" s="49">
        <f>1/B14</f>
        <v>3.3528106811823188E-3</v>
      </c>
      <c r="C15" s="35" t="s">
        <v>77</v>
      </c>
      <c r="D15" s="3"/>
    </row>
    <row r="16" spans="1:8" ht="17" x14ac:dyDescent="0.2">
      <c r="A16" s="4" t="s">
        <v>27</v>
      </c>
      <c r="B16" s="61">
        <f>2*B15-B15*B15</f>
        <v>6.6943800229007869E-3</v>
      </c>
      <c r="C16" s="35" t="s">
        <v>79</v>
      </c>
      <c r="D16" s="3"/>
    </row>
    <row r="17" spans="1:4" x14ac:dyDescent="0.2">
      <c r="A17" s="2" t="s">
        <v>4</v>
      </c>
      <c r="B17" s="45">
        <f>B13/SQRT(1-B16*SIN(B9)*SIN(B9))</f>
        <v>6381580.7577764615</v>
      </c>
      <c r="C17" s="35"/>
      <c r="D17" s="3"/>
    </row>
    <row r="18" spans="1:4" x14ac:dyDescent="0.2">
      <c r="A18" s="3"/>
      <c r="B18" s="3"/>
      <c r="C18" s="36"/>
      <c r="D18" s="3"/>
    </row>
    <row r="19" spans="1:4" x14ac:dyDescent="0.2">
      <c r="A19" s="1" t="s">
        <v>87</v>
      </c>
      <c r="B19" s="3"/>
      <c r="C19" s="3"/>
      <c r="D19" s="3"/>
    </row>
    <row r="20" spans="1:4" x14ac:dyDescent="0.2">
      <c r="A20" s="4" t="s">
        <v>8</v>
      </c>
      <c r="B20" s="43">
        <f>(B17+B6)*COS(B9)*COS(B10)</f>
        <v>-4052051.7642879654</v>
      </c>
      <c r="C20" s="3"/>
      <c r="D20" s="42"/>
    </row>
    <row r="21" spans="1:4" x14ac:dyDescent="0.2">
      <c r="A21" s="4" t="s">
        <v>9</v>
      </c>
      <c r="B21" s="43">
        <f>(B17+B6)*COS(B9)*SIN(B10)</f>
        <v>4212836.2017274294</v>
      </c>
      <c r="C21" s="3"/>
    </row>
    <row r="22" spans="1:4" x14ac:dyDescent="0.2">
      <c r="A22" s="4" t="s">
        <v>10</v>
      </c>
      <c r="B22" s="43">
        <f>((1-B16)*B17+B6)*SIN(B9)</f>
        <v>-2545106.0245097782</v>
      </c>
      <c r="C22" s="3"/>
    </row>
    <row r="23" spans="1:4" x14ac:dyDescent="0.2">
      <c r="D23" s="3"/>
    </row>
    <row r="24" spans="1:4" x14ac:dyDescent="0.2">
      <c r="A24" s="1" t="s">
        <v>88</v>
      </c>
      <c r="B24" s="3"/>
      <c r="C24" s="36"/>
      <c r="D24" s="3"/>
    </row>
    <row r="25" spans="1:4" ht="17" x14ac:dyDescent="0.25">
      <c r="A25" s="6" t="s">
        <v>28</v>
      </c>
      <c r="B25" s="13">
        <f>61.55/1000</f>
        <v>6.1550000000000001E-2</v>
      </c>
      <c r="C25" s="35" t="s">
        <v>11</v>
      </c>
      <c r="D25" s="3"/>
    </row>
    <row r="26" spans="1:4" ht="17" x14ac:dyDescent="0.25">
      <c r="A26" s="6" t="s">
        <v>29</v>
      </c>
      <c r="B26" s="13">
        <f>-10.87/1000</f>
        <v>-1.0869999999999999E-2</v>
      </c>
      <c r="C26" s="35" t="s">
        <v>11</v>
      </c>
      <c r="D26" s="3"/>
    </row>
    <row r="27" spans="1:4" ht="17" x14ac:dyDescent="0.25">
      <c r="A27" s="6" t="s">
        <v>30</v>
      </c>
      <c r="B27" s="13">
        <f>-40.19/1000</f>
        <v>-4.0189999999999997E-2</v>
      </c>
      <c r="C27" s="35" t="s">
        <v>11</v>
      </c>
      <c r="D27" s="3"/>
    </row>
    <row r="28" spans="1:4" x14ac:dyDescent="0.2">
      <c r="A28" s="6" t="s">
        <v>12</v>
      </c>
      <c r="B28" s="14">
        <f>-9.994/1000</f>
        <v>-9.9939999999999994E-3</v>
      </c>
      <c r="C28" s="35" t="s">
        <v>13</v>
      </c>
      <c r="D28" s="3"/>
    </row>
    <row r="29" spans="1:4" ht="17" x14ac:dyDescent="0.25">
      <c r="A29" s="6" t="s">
        <v>31</v>
      </c>
      <c r="B29" s="15">
        <f>-39.4924/1000</f>
        <v>-3.9492400000000004E-2</v>
      </c>
      <c r="C29" s="35" t="s">
        <v>14</v>
      </c>
      <c r="D29" s="3"/>
    </row>
    <row r="30" spans="1:4" ht="17" x14ac:dyDescent="0.25">
      <c r="A30" s="6" t="s">
        <v>32</v>
      </c>
      <c r="B30" s="15">
        <f>-32.7221/1000</f>
        <v>-3.2722099999999997E-2</v>
      </c>
      <c r="C30" s="35" t="s">
        <v>14</v>
      </c>
      <c r="D30" s="3"/>
    </row>
    <row r="31" spans="1:4" ht="17" x14ac:dyDescent="0.25">
      <c r="A31" s="6" t="s">
        <v>33</v>
      </c>
      <c r="B31" s="15">
        <f>-32.8979/1000</f>
        <v>-3.2897900000000001E-2</v>
      </c>
      <c r="C31" s="35" t="s">
        <v>14</v>
      </c>
      <c r="D31" s="3"/>
    </row>
    <row r="32" spans="1:4" x14ac:dyDescent="0.2">
      <c r="A32" s="3"/>
      <c r="B32" s="3"/>
      <c r="C32" s="3"/>
      <c r="D32" s="3"/>
    </row>
    <row r="33" spans="1:8" x14ac:dyDescent="0.2">
      <c r="A33" s="1" t="s">
        <v>22</v>
      </c>
      <c r="B33" s="3"/>
      <c r="C33" s="3"/>
      <c r="D33" s="3"/>
    </row>
    <row r="34" spans="1:8" x14ac:dyDescent="0.2">
      <c r="A34" s="6" t="s">
        <v>17</v>
      </c>
      <c r="B34" s="7">
        <f>((B29/3600)/180)*PI()</f>
        <v>-1.914645581985024E-7</v>
      </c>
      <c r="C34" s="37" t="s">
        <v>18</v>
      </c>
      <c r="D34" s="55"/>
      <c r="E34" s="55"/>
    </row>
    <row r="35" spans="1:8" x14ac:dyDescent="0.2">
      <c r="A35" s="6" t="s">
        <v>19</v>
      </c>
      <c r="B35" s="7">
        <f>((B30/3600)/180)*PI()</f>
        <v>-1.5864121754634347E-7</v>
      </c>
      <c r="C35" s="37" t="s">
        <v>18</v>
      </c>
      <c r="D35" s="55"/>
      <c r="E35" s="55"/>
    </row>
    <row r="36" spans="1:8" x14ac:dyDescent="0.2">
      <c r="A36" s="6" t="s">
        <v>20</v>
      </c>
      <c r="B36" s="7">
        <f>((B31/3600)/180)*PI()</f>
        <v>-1.5949351999773405E-7</v>
      </c>
      <c r="C36" s="37" t="s">
        <v>18</v>
      </c>
      <c r="E36" s="55"/>
    </row>
    <row r="37" spans="1:8" x14ac:dyDescent="0.2">
      <c r="A37" s="6" t="s">
        <v>21</v>
      </c>
      <c r="B37" s="47">
        <f>1+(B28/1000000)</f>
        <v>0.99999999000600004</v>
      </c>
      <c r="C37" s="35"/>
      <c r="D37" s="3"/>
    </row>
    <row r="38" spans="1:8" x14ac:dyDescent="0.2">
      <c r="A38" s="3"/>
      <c r="B38" s="3"/>
      <c r="C38" s="3"/>
      <c r="D38" s="3"/>
    </row>
    <row r="39" spans="1:8" x14ac:dyDescent="0.2">
      <c r="A39" s="1" t="s">
        <v>26</v>
      </c>
      <c r="B39" s="3"/>
      <c r="C39" s="3"/>
      <c r="D39" s="3"/>
    </row>
    <row r="40" spans="1:8" x14ac:dyDescent="0.2">
      <c r="A40" s="32" t="s">
        <v>70</v>
      </c>
      <c r="B40" s="3"/>
      <c r="C40" s="3"/>
      <c r="D40" s="3"/>
    </row>
    <row r="41" spans="1:8" x14ac:dyDescent="0.2">
      <c r="A41" s="8" t="s">
        <v>23</v>
      </c>
      <c r="B41" s="9">
        <f>COS(B35)*COS(B36)</f>
        <v>0.99999999999997469</v>
      </c>
      <c r="C41" s="9">
        <f>COS(B35)*SIN(B36)</f>
        <v>-1.5949351999773135E-7</v>
      </c>
      <c r="D41" s="9">
        <f>-SIN(B35)</f>
        <v>1.5864121754634281E-7</v>
      </c>
      <c r="E41" s="20"/>
      <c r="F41" s="56"/>
      <c r="H41" s="9"/>
    </row>
    <row r="42" spans="1:8" x14ac:dyDescent="0.2">
      <c r="A42" s="8" t="s">
        <v>24</v>
      </c>
      <c r="B42" s="9">
        <f>SIN(B34)*SIN(B35)*COS(B36)-COS(B34)*SIN(B36)</f>
        <v>1.5949355037190109E-7</v>
      </c>
      <c r="C42" s="9">
        <f>SIN(B34)*SIN(B35)*SIN(B36)+COS(B34)*COS(B36)</f>
        <v>0.99999999999996891</v>
      </c>
      <c r="D42" s="9">
        <f>SIN(B34)*COS(B35)</f>
        <v>-1.9146455819849882E-7</v>
      </c>
      <c r="F42" s="56"/>
    </row>
    <row r="43" spans="1:8" x14ac:dyDescent="0.2">
      <c r="A43" s="8" t="s">
        <v>25</v>
      </c>
      <c r="B43" s="9">
        <f>COS(B34)*SIN(B35)*COS(B36)+SIN(B34)*SIN(B36)</f>
        <v>-1.586411870089815E-7</v>
      </c>
      <c r="C43" s="9">
        <f>COS(B34)*SIN(B35)*SIN(B36)-SIN(B34)*COS(B36)</f>
        <v>1.9146458350074499E-7</v>
      </c>
      <c r="D43" s="9">
        <f>COS(B34)*COS(B35)</f>
        <v>0.99999999999996914</v>
      </c>
      <c r="E43" s="56"/>
      <c r="F43" s="56"/>
    </row>
    <row r="44" spans="1:8" x14ac:dyDescent="0.2">
      <c r="A44" s="31" t="s">
        <v>71</v>
      </c>
      <c r="B44" s="11"/>
      <c r="C44" s="11"/>
      <c r="D44" s="11"/>
      <c r="E44" s="56"/>
    </row>
    <row r="45" spans="1:8" x14ac:dyDescent="0.2">
      <c r="A45" s="8" t="s">
        <v>23</v>
      </c>
      <c r="B45" s="12">
        <f>(B41*B20+C41*B21+D41*B22)</f>
        <v>-4052052.8399666566</v>
      </c>
      <c r="C45" s="59"/>
      <c r="D45" s="11"/>
      <c r="E45" s="56"/>
      <c r="F45" s="59"/>
    </row>
    <row r="46" spans="1:8" x14ac:dyDescent="0.2">
      <c r="A46" s="8" t="s">
        <v>24</v>
      </c>
      <c r="B46" s="12">
        <f>(B42*B20+C42*B21+D42*B22)</f>
        <v>4212836.0427487763</v>
      </c>
      <c r="C46" s="11"/>
      <c r="D46" s="11"/>
      <c r="E46" s="56"/>
      <c r="F46" s="60"/>
    </row>
    <row r="47" spans="1:8" x14ac:dyDescent="0.2">
      <c r="A47" s="8" t="s">
        <v>25</v>
      </c>
      <c r="B47" s="12">
        <f>(B43*B20+C43*B21+D43*B22)</f>
        <v>-2545104.5750784692</v>
      </c>
      <c r="C47" s="11"/>
      <c r="D47" s="11"/>
      <c r="E47" s="56"/>
    </row>
    <row r="48" spans="1:8" x14ac:dyDescent="0.2">
      <c r="A48" s="31" t="s">
        <v>72</v>
      </c>
      <c r="B48" s="11"/>
      <c r="C48" s="11"/>
      <c r="D48" s="11"/>
      <c r="E48" s="56"/>
    </row>
    <row r="49" spans="1:5" x14ac:dyDescent="0.2">
      <c r="A49" s="8" t="s">
        <v>23</v>
      </c>
      <c r="B49" s="12">
        <f>B45*B37</f>
        <v>-4052052.7994704405</v>
      </c>
      <c r="C49" s="11"/>
      <c r="D49" s="11"/>
      <c r="E49" s="56"/>
    </row>
    <row r="50" spans="1:5" x14ac:dyDescent="0.2">
      <c r="A50" s="8" t="s">
        <v>24</v>
      </c>
      <c r="B50" s="12">
        <f>B46*B37</f>
        <v>4212836.0006456934</v>
      </c>
      <c r="C50" s="11"/>
      <c r="D50" s="11"/>
      <c r="E50" s="57"/>
    </row>
    <row r="51" spans="1:5" x14ac:dyDescent="0.2">
      <c r="A51" s="8" t="s">
        <v>25</v>
      </c>
      <c r="B51" s="12">
        <f>B47*B37</f>
        <v>-2545104.5496426942</v>
      </c>
      <c r="C51" s="11"/>
      <c r="D51" s="11"/>
      <c r="E51" s="10"/>
    </row>
    <row r="52" spans="1:5" x14ac:dyDescent="0.2">
      <c r="A52" s="31" t="s">
        <v>73</v>
      </c>
      <c r="B52" s="11"/>
      <c r="C52" s="11"/>
      <c r="D52" s="11"/>
      <c r="E52" s="10"/>
    </row>
    <row r="53" spans="1:5" x14ac:dyDescent="0.2">
      <c r="A53" s="8" t="s">
        <v>23</v>
      </c>
      <c r="B53" s="12">
        <f>B49+B25</f>
        <v>-4052052.7379204403</v>
      </c>
      <c r="C53" s="59"/>
      <c r="D53" s="11"/>
      <c r="E53" s="10"/>
    </row>
    <row r="54" spans="1:5" x14ac:dyDescent="0.2">
      <c r="A54" s="8" t="s">
        <v>24</v>
      </c>
      <c r="B54" s="12">
        <f>B50+B26</f>
        <v>4212835.989775693</v>
      </c>
      <c r="C54" s="59"/>
      <c r="D54" s="11"/>
      <c r="E54" s="10"/>
    </row>
    <row r="55" spans="1:5" x14ac:dyDescent="0.2">
      <c r="A55" s="8" t="s">
        <v>25</v>
      </c>
      <c r="B55" s="12">
        <f>B51+B27</f>
        <v>-2545104.5898326943</v>
      </c>
      <c r="C55" s="11"/>
      <c r="D55" s="11"/>
      <c r="E55" s="10"/>
    </row>
    <row r="56" spans="1:5" x14ac:dyDescent="0.2">
      <c r="A56" s="10"/>
      <c r="B56" s="10"/>
      <c r="C56" s="10"/>
      <c r="D56" s="10"/>
      <c r="E56" s="10"/>
    </row>
    <row r="57" spans="1:5" x14ac:dyDescent="0.2">
      <c r="A57" s="1" t="s">
        <v>83</v>
      </c>
    </row>
    <row r="58" spans="1:5" x14ac:dyDescent="0.2">
      <c r="A58" s="6" t="s">
        <v>34</v>
      </c>
      <c r="B58" s="58">
        <f>SQRT(B53*B53+B54*B54)</f>
        <v>5845264.6191287078</v>
      </c>
      <c r="C58" s="35"/>
    </row>
    <row r="59" spans="1:5" x14ac:dyDescent="0.2">
      <c r="A59" s="6" t="s">
        <v>35</v>
      </c>
      <c r="B59" s="58">
        <f>SQRT(B58*B58+B55*B55)</f>
        <v>6375317.7050893176</v>
      </c>
      <c r="C59" s="16"/>
    </row>
    <row r="60" spans="1:5" x14ac:dyDescent="0.2">
      <c r="A60" s="2" t="s">
        <v>36</v>
      </c>
      <c r="B60" s="58">
        <f>ATAN((B55/B58)*((1-B15)+(B16*B13)/B59))</f>
        <v>-0.41188095972047783</v>
      </c>
      <c r="C60" s="16"/>
    </row>
    <row r="61" spans="1:5" x14ac:dyDescent="0.2">
      <c r="A61" s="6" t="s">
        <v>89</v>
      </c>
      <c r="B61" s="46">
        <f>B55*(1-B15)+B16*B13*SIN(B60)*SIN(B60)*SIN(B60)</f>
        <v>-2539310.8316727108</v>
      </c>
      <c r="C61" s="16"/>
    </row>
    <row r="62" spans="1:5" x14ac:dyDescent="0.2">
      <c r="A62" s="6" t="s">
        <v>40</v>
      </c>
      <c r="B62" s="46">
        <f>(1-B15)*(B58-B16*B13*COS(B60)*COS(B60)*COS(B60))</f>
        <v>5792920.6155340867</v>
      </c>
      <c r="C62" s="16"/>
    </row>
    <row r="63" spans="1:5" x14ac:dyDescent="0.2">
      <c r="A63" s="6" t="s">
        <v>81</v>
      </c>
      <c r="B63" s="46">
        <f>ATAN(B54/B53)</f>
        <v>-0.80484948077047069</v>
      </c>
      <c r="E63" s="17"/>
    </row>
    <row r="64" spans="1:5" x14ac:dyDescent="0.2">
      <c r="A64" s="6" t="s">
        <v>82</v>
      </c>
      <c r="B64" s="46">
        <f>ATAN(B61/B62)</f>
        <v>-0.41312135622735646</v>
      </c>
      <c r="C64" s="16"/>
    </row>
    <row r="65" spans="1:4" x14ac:dyDescent="0.2">
      <c r="A65" s="6" t="s">
        <v>41</v>
      </c>
      <c r="B65" s="46">
        <f>IF(B63&lt;0,PI()+B63,B63)</f>
        <v>2.3367431728193226</v>
      </c>
      <c r="C65" s="16"/>
    </row>
    <row r="66" spans="1:4" x14ac:dyDescent="0.2">
      <c r="A66" s="6"/>
      <c r="C66" s="16"/>
      <c r="D66" s="16"/>
    </row>
    <row r="67" spans="1:4" x14ac:dyDescent="0.2">
      <c r="A67" s="18" t="s">
        <v>84</v>
      </c>
      <c r="C67" s="16"/>
      <c r="D67" s="16"/>
    </row>
    <row r="68" spans="1:4" x14ac:dyDescent="0.2">
      <c r="A68" s="6" t="s">
        <v>38</v>
      </c>
      <c r="B68" s="54">
        <f>(B64/PI())*180</f>
        <v>-23.670110138548154</v>
      </c>
    </row>
    <row r="69" spans="1:4" x14ac:dyDescent="0.2">
      <c r="A69" s="6" t="s">
        <v>37</v>
      </c>
      <c r="B69" s="53">
        <f>(B65/PI())*180</f>
        <v>133.88552160855633</v>
      </c>
    </row>
    <row r="70" spans="1:4" x14ac:dyDescent="0.2">
      <c r="A70" s="6" t="s">
        <v>39</v>
      </c>
      <c r="B70" s="53">
        <f>B58*COS(B64)+B55*SIN(B64)-B13*SQRT(1-B16*SIN(B64)*SIN(B64))</f>
        <v>603.2488718861714</v>
      </c>
    </row>
  </sheetData>
  <mergeCells count="3">
    <mergeCell ref="E3:F3"/>
    <mergeCell ref="E2:H2"/>
    <mergeCell ref="H3:H4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DBCD-B61C-4AD0-AD2C-A4C5A6DC1886}">
  <sheetPr codeName="Sheet2"/>
  <dimension ref="A1:D16"/>
  <sheetViews>
    <sheetView zoomScale="104" workbookViewId="0">
      <selection activeCell="B16" sqref="B16"/>
    </sheetView>
  </sheetViews>
  <sheetFormatPr baseColWidth="10" defaultColWidth="12.5" defaultRowHeight="16" x14ac:dyDescent="0.2"/>
  <cols>
    <col min="1" max="1" width="17.5" style="21" bestFit="1" customWidth="1"/>
    <col min="2" max="2" width="17.6640625" style="21" bestFit="1" customWidth="1"/>
    <col min="3" max="3" width="13.33203125" style="21" bestFit="1" customWidth="1"/>
    <col min="4" max="4" width="64.6640625" style="22" bestFit="1" customWidth="1"/>
    <col min="5" max="16384" width="12.5" style="21"/>
  </cols>
  <sheetData>
    <row r="1" spans="1:4" x14ac:dyDescent="0.2">
      <c r="A1" s="23" t="s">
        <v>43</v>
      </c>
      <c r="B1" s="24"/>
      <c r="C1" s="24"/>
      <c r="D1" s="25"/>
    </row>
    <row r="2" spans="1:4" x14ac:dyDescent="0.2">
      <c r="A2" s="24" t="s">
        <v>44</v>
      </c>
      <c r="B2" s="26">
        <f>3.1415926/180</f>
        <v>1.7453292222222222E-2</v>
      </c>
      <c r="C2" s="27" t="s">
        <v>45</v>
      </c>
      <c r="D2" s="25" t="s">
        <v>46</v>
      </c>
    </row>
    <row r="3" spans="1:4" x14ac:dyDescent="0.2">
      <c r="A3" s="24" t="s">
        <v>47</v>
      </c>
      <c r="B3" s="24">
        <v>6371</v>
      </c>
      <c r="C3" s="24"/>
      <c r="D3" s="25" t="s">
        <v>48</v>
      </c>
    </row>
    <row r="4" spans="1:4" x14ac:dyDescent="0.2">
      <c r="A4" s="24"/>
      <c r="B4" s="24"/>
      <c r="C4" s="24"/>
      <c r="D4" s="25"/>
    </row>
    <row r="5" spans="1:4" x14ac:dyDescent="0.2">
      <c r="A5" s="23" t="s">
        <v>49</v>
      </c>
      <c r="B5" s="23" t="s">
        <v>1</v>
      </c>
      <c r="C5" s="28" t="s">
        <v>2</v>
      </c>
      <c r="D5" s="25"/>
    </row>
    <row r="6" spans="1:4" x14ac:dyDescent="0.2">
      <c r="A6" s="24" t="s">
        <v>50</v>
      </c>
      <c r="B6" s="24">
        <f>'GDA94 to GDA2020 Transform'!B4</f>
        <v>-23.670123894100001</v>
      </c>
      <c r="C6" s="26">
        <f>B6*B$2</f>
        <v>-0.41312158925993192</v>
      </c>
      <c r="D6" s="25" t="s">
        <v>51</v>
      </c>
    </row>
    <row r="7" spans="1:4" x14ac:dyDescent="0.2">
      <c r="A7" s="24" t="s">
        <v>52</v>
      </c>
      <c r="B7" s="24">
        <f>'GDA94 to GDA2020 Transform'!F4</f>
        <v>-23.670110138548154</v>
      </c>
      <c r="C7" s="26">
        <f>B7*B$2</f>
        <v>-0.41312134918026583</v>
      </c>
      <c r="D7" s="25" t="s">
        <v>53</v>
      </c>
    </row>
    <row r="8" spans="1:4" x14ac:dyDescent="0.2">
      <c r="A8" s="24" t="s">
        <v>54</v>
      </c>
      <c r="B8" s="24">
        <f>'GDA94 to GDA2020 Transform'!B5</f>
        <v>133.88551329000001</v>
      </c>
      <c r="C8" s="26">
        <f>B8*B$2</f>
        <v>2.3367429877725869</v>
      </c>
      <c r="D8" s="25" t="s">
        <v>55</v>
      </c>
    </row>
    <row r="9" spans="1:4" x14ac:dyDescent="0.2">
      <c r="A9" s="24" t="s">
        <v>56</v>
      </c>
      <c r="B9" s="24">
        <f>'GDA94 to GDA2020 Transform'!F5</f>
        <v>133.88552160855633</v>
      </c>
      <c r="C9" s="26">
        <f>B9*B$2</f>
        <v>2.3367431329587816</v>
      </c>
      <c r="D9" s="25" t="s">
        <v>57</v>
      </c>
    </row>
    <row r="10" spans="1:4" x14ac:dyDescent="0.2">
      <c r="A10" s="24"/>
      <c r="B10" s="24"/>
      <c r="C10" s="26"/>
      <c r="D10" s="25"/>
    </row>
    <row r="11" spans="1:4" x14ac:dyDescent="0.2">
      <c r="A11" s="23" t="s">
        <v>58</v>
      </c>
      <c r="B11" s="24"/>
      <c r="C11" s="24"/>
      <c r="D11" s="25"/>
    </row>
    <row r="12" spans="1:4" x14ac:dyDescent="0.2">
      <c r="A12" s="24" t="s">
        <v>59</v>
      </c>
      <c r="B12" s="26">
        <f>C9-C8</f>
        <v>1.4518619462222659E-7</v>
      </c>
      <c r="C12" s="24"/>
      <c r="D12" s="25" t="s">
        <v>60</v>
      </c>
    </row>
    <row r="13" spans="1:4" x14ac:dyDescent="0.2">
      <c r="A13" s="24" t="s">
        <v>61</v>
      </c>
      <c r="B13" s="26">
        <f>C7-C6</f>
        <v>2.4007966609174147E-7</v>
      </c>
      <c r="C13" s="24"/>
      <c r="D13" s="25" t="s">
        <v>62</v>
      </c>
    </row>
    <row r="14" spans="1:4" x14ac:dyDescent="0.2">
      <c r="A14" s="24" t="s">
        <v>63</v>
      </c>
      <c r="B14" s="24">
        <f>POWER(SIN(B13/2),2)+COS(C6)*COS(C7)*POWER(SIN(B12/2),2)</f>
        <v>1.8829948810981991E-14</v>
      </c>
      <c r="C14" s="24"/>
      <c r="D14" s="25" t="s">
        <v>64</v>
      </c>
    </row>
    <row r="15" spans="1:4" x14ac:dyDescent="0.2">
      <c r="A15" s="24" t="s">
        <v>65</v>
      </c>
      <c r="B15" s="24">
        <f>2*ASIN(SQRT(B14))</f>
        <v>2.7444452124961145E-7</v>
      </c>
      <c r="C15" s="24"/>
      <c r="D15" s="25" t="s">
        <v>66</v>
      </c>
    </row>
    <row r="16" spans="1:4" x14ac:dyDescent="0.2">
      <c r="A16" s="24" t="s">
        <v>67</v>
      </c>
      <c r="B16" s="24">
        <f>B15*B3</f>
        <v>1.7484860448812745E-3</v>
      </c>
      <c r="C16" s="24"/>
      <c r="D16" s="25" t="s">
        <v>68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GDA94 to GDA2020 Transform</vt:lpstr>
      <vt:lpstr>Haversine Formula</vt:lpstr>
    </vt:vector>
  </TitlesOfParts>
  <Manager/>
  <Company>Cross-Lateral Enterprises crosslateral.com.au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GDA94 to GDA2020 Conformal Transformation</dc:title>
  <dc:subject/>
  <dc:creator>CROSSWELL, David</dc:creator>
  <cp:keywords/>
  <dc:description/>
  <cp:lastModifiedBy>David Crosswell</cp:lastModifiedBy>
  <dcterms:created xsi:type="dcterms:W3CDTF">2022-03-20T22:07:45Z</dcterms:created>
  <dcterms:modified xsi:type="dcterms:W3CDTF">2022-03-23T03:54:29Z</dcterms:modified>
  <cp:category>Spatial</cp:category>
</cp:coreProperties>
</file>